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3.xml" ContentType="application/vnd.openxmlformats-officedocument.drawing+xml"/>
  <Override PartName="/xl/comments10.xml" ContentType="application/vnd.openxmlformats-officedocument.spreadsheetml.comments+xml"/>
  <Override PartName="/xl/drawings/drawing4.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490" windowHeight="7755" tabRatio="883"/>
  </bookViews>
  <sheets>
    <sheet name="Приложение " sheetId="35" r:id="rId1"/>
    <sheet name="1. Анкетна карта" sheetId="5" r:id="rId2"/>
    <sheet name="2. Променливи" sheetId="1" r:id="rId3"/>
    <sheet name="3. Показатели за качество" sheetId="2" r:id="rId4"/>
    <sheet name="4. Отчет и прогн. потребление" sheetId="65" r:id="rId5"/>
    <sheet name="5. Персонал" sheetId="60" r:id="rId6"/>
    <sheet name="6. Ел.Енергия" sheetId="39" r:id="rId7"/>
    <sheet name="7. Утайки от ПСОВ" sheetId="58" r:id="rId8"/>
    <sheet name="8. Ремонтна програма" sheetId="46" r:id="rId9"/>
    <sheet name="9.Инвестиционна програма" sheetId="41" r:id="rId10"/>
    <sheet name="10. Финансиране на ИП" sheetId="7" r:id="rId11"/>
    <sheet name="11. Амортиз. план" sheetId="50" r:id="rId12"/>
    <sheet name="11.1.Амортиз.нови активи" sheetId="51" r:id="rId13"/>
    <sheet name="11.2. Нови активи отч.год." sheetId="62" r:id="rId14"/>
    <sheet name="12. Разходи" sheetId="53" r:id="rId15"/>
    <sheet name="12.1.Разходи-увелич.и нам." sheetId="54" r:id="rId16"/>
    <sheet name="13. Соц. поносимост" sheetId="16" r:id="rId17"/>
    <sheet name="14. ОПР" sheetId="47" r:id="rId18"/>
    <sheet name="15. ОПП" sheetId="48" r:id="rId19"/>
    <sheet name="16. Необходими приходи" sheetId="17" r:id="rId20"/>
    <sheet name="17. РБА" sheetId="49" r:id="rId21"/>
    <sheet name="18. OK" sheetId="20" r:id="rId22"/>
    <sheet name="19. HB" sheetId="21" r:id="rId23"/>
    <sheet name="20.Цени за дост.,отв. и преч." sheetId="22" r:id="rId24"/>
    <sheet name="Пояснения" sheetId="63" r:id="rId25"/>
  </sheets>
  <externalReferences>
    <externalReference r:id="rId26"/>
    <externalReference r:id="rId27"/>
  </externalReferences>
  <definedNames>
    <definedName name="_xlnm._FilterDatabase" localSheetId="11" hidden="1">'11. Амортиз. план'!$B$1:$B$297</definedName>
    <definedName name="_xlnm._FilterDatabase" localSheetId="13" hidden="1">'11.2. Нови активи отч.год.'!$B$1:$CB$192</definedName>
    <definedName name="_xlnm._FilterDatabase" localSheetId="9" hidden="1">'9.Инвестиционна програма'!$B$1:$B$107</definedName>
    <definedName name="_xlnm._FilterDatabase" localSheetId="24" hidden="1">Пояснения!$A$2:$F$157</definedName>
    <definedName name="_xlnm.Print_Area" localSheetId="1">'1. Анкетна карта'!$A$1:$J$62</definedName>
    <definedName name="_xlnm.Print_Area" localSheetId="10">'10. Финансиране на ИП'!$A$1:$W$87</definedName>
    <definedName name="_xlnm.Print_Area" localSheetId="11">'11. Амортиз. план'!$A$1:$AA$299</definedName>
    <definedName name="_xlnm.Print_Area" localSheetId="12">'11.1.Амортиз.нови активи'!$A$1:$AH$121</definedName>
    <definedName name="_xlnm.Print_Area" localSheetId="13">'11.2. Нови активи отч.год.'!$A$1:$AF$191</definedName>
    <definedName name="_xlnm.Print_Area" localSheetId="14">'12. Разходи'!$A$1:$AD$117</definedName>
    <definedName name="_xlnm.Print_Area" localSheetId="15">'12.1.Разходи-увелич.и нам.'!$A$1:$AL$128</definedName>
    <definedName name="_xlnm.Print_Area" localSheetId="16">'13. Соц. поносимост'!$A$1:$J$32</definedName>
    <definedName name="_xlnm.Print_Area" localSheetId="17">'14. ОПР'!$A$1:$H$58</definedName>
    <definedName name="_xlnm.Print_Area" localSheetId="18">'15. ОПП'!$A$1:$H$60</definedName>
    <definedName name="_xlnm.Print_Area" localSheetId="19">'16. Необходими приходи'!$A$2:$X$41</definedName>
    <definedName name="_xlnm.Print_Area" localSheetId="20">'17. РБА'!$A$2:$W$30</definedName>
    <definedName name="_xlnm.Print_Area" localSheetId="21">'18. OK'!$A$2:$J$38</definedName>
    <definedName name="_xlnm.Print_Area" localSheetId="22">'19. HB'!$A$1:$J$51</definedName>
    <definedName name="_xlnm.Print_Area" localSheetId="2">'2. Променливи'!$A$1:$T$123</definedName>
    <definedName name="_xlnm.Print_Area" localSheetId="3">'3. Показатели за качество'!$A$1:$O$50</definedName>
    <definedName name="_xlnm.Print_Area" localSheetId="4">'4. Отчет и прогн. потребление'!$A$1:$J$84</definedName>
    <definedName name="_xlnm.Print_Area" localSheetId="5">'5. Персонал'!$A$1:$AY$50</definedName>
    <definedName name="_xlnm.Print_Area" localSheetId="6">'6. Ел.Енергия'!$A$1:$X$82</definedName>
    <definedName name="_xlnm.Print_Area" localSheetId="7">'7. Утайки от ПСОВ'!$A$1:$J$47</definedName>
    <definedName name="_xlnm.Print_Area" localSheetId="8">'8. Ремонтна програма'!$A$1:$Q$63</definedName>
    <definedName name="_xlnm.Print_Area" localSheetId="9">'9.Инвестиционна програма'!$A$1:$AL$108</definedName>
    <definedName name="_xlnm.Print_Titles" localSheetId="11">'11. Амортиз. план'!$6:$7</definedName>
    <definedName name="_xlnm.Print_Titles" localSheetId="12">'11.1.Амортиз.нови активи'!$A:$D,'11.1.Амортиз.нови активи'!$8:$9</definedName>
    <definedName name="_xlnm.Print_Titles" localSheetId="13">'11.2. Нови активи отч.год.'!$A:$D,'11.2. Нови активи отч.год.'!$8:$9</definedName>
    <definedName name="_xlnm.Print_Titles" localSheetId="14">'12. Разходи'!$A:$B,'12. Разходи'!$8:$10</definedName>
    <definedName name="_xlnm.Print_Titles" localSheetId="15">'12.1.Разходи-увелич.и нам.'!$A:$B,'12.1.Разходи-увелич.и нам.'!$8:$10</definedName>
    <definedName name="_xlnm.Print_Titles" localSheetId="2">'2. Променливи'!$6:$7</definedName>
    <definedName name="_xlnm.Print_Titles" localSheetId="5">'5. Персонал'!$A:$B</definedName>
    <definedName name="_xlnm.Print_Titles" localSheetId="8">'8. Ремонтна програма'!$6:$7</definedName>
    <definedName name="_xlnm.Print_Titles" localSheetId="9">'9.Инвестиционна програма'!$A:$D,'9.Инвестиционна програма'!$8:$9</definedName>
    <definedName name="Year">#REF!</definedName>
    <definedName name="Z_0B349829_3F54_4163_960D_ECAFCC24CFC8_.wvu.PrintArea" localSheetId="16" hidden="1">'13. Соц. поносимост'!$A$1:$J$38</definedName>
    <definedName name="Z_0B349829_3F54_4163_960D_ECAFCC24CFC8_.wvu.PrintArea" localSheetId="2" hidden="1">'2. Променливи'!$B$1:$F$7</definedName>
    <definedName name="Z_0B349829_3F54_4163_960D_ECAFCC24CFC8_.wvu.PrintArea" localSheetId="3" hidden="1">'3. Показатели за качество'!$A$1:$K$6</definedName>
    <definedName name="Z_0B349829_3F54_4163_960D_ECAFCC24CFC8_.wvu.PrintArea" localSheetId="7" hidden="1">'7. Утайки от ПСОВ'!$A$1:$J$46</definedName>
    <definedName name="Z_40B752E9_F1B2_49B8_8062_4CC854FDABFB_.wvu.PrintArea" localSheetId="16" hidden="1">'13. Соц. поносимост'!$A$1:$J$38</definedName>
    <definedName name="Z_40B752E9_F1B2_49B8_8062_4CC854FDABFB_.wvu.PrintArea" localSheetId="2" hidden="1">'2. Променливи'!$B$1:$F$7</definedName>
    <definedName name="Z_40B752E9_F1B2_49B8_8062_4CC854FDABFB_.wvu.PrintArea" localSheetId="3" hidden="1">'3. Показатели за качество'!$A$1:$K$6</definedName>
    <definedName name="Z_40B752E9_F1B2_49B8_8062_4CC854FDABFB_.wvu.PrintArea" localSheetId="7" hidden="1">'7. Утайки от ПСОВ'!$A$1:$J$46</definedName>
    <definedName name="Z_E23DBFBB_7C2B_43B5_8169_5032323B5185_.wvu.PrintArea" localSheetId="16" hidden="1">'13. Соц. поносимост'!$A$1:$J$38</definedName>
    <definedName name="Z_E23DBFBB_7C2B_43B5_8169_5032323B5185_.wvu.PrintArea" localSheetId="2" hidden="1">'2. Променливи'!$B$1:$F$7</definedName>
    <definedName name="Z_E23DBFBB_7C2B_43B5_8169_5032323B5185_.wvu.PrintArea" localSheetId="3" hidden="1">'3. Показатели за качество'!$A$1:$K$6</definedName>
    <definedName name="Z_E23DBFBB_7C2B_43B5_8169_5032323B5185_.wvu.PrintArea" localSheetId="7" hidden="1">'7. Утайки от ПСОВ'!$A$1:$J$46</definedName>
    <definedName name="Амортизации" localSheetId="7" hidden="1">[1]Инвестиции!$43:$43</definedName>
    <definedName name="Амортизации" hidden="1">[1]Инвестиции!$A$43:$IV$43</definedName>
    <definedName name="Амортизации_първа_год" localSheetId="7" hidden="1">[1]Инвестиции!$E$40</definedName>
    <definedName name="Амортизации_първа_год" hidden="1">[1]Инвестиции!$E$40</definedName>
    <definedName name="Брутна_печалба" localSheetId="1">#REF!</definedName>
    <definedName name="Брутна_печалба" localSheetId="10">#REF!</definedName>
    <definedName name="Брутна_печалба" localSheetId="16">#REF!</definedName>
    <definedName name="Брутна_печалба" localSheetId="17">#REF!</definedName>
    <definedName name="Брутна_печалба" localSheetId="18">#REF!</definedName>
    <definedName name="Брутна_печалба" localSheetId="20">#REF!</definedName>
    <definedName name="Брутна_печалба" localSheetId="4">#REF!</definedName>
    <definedName name="Брутна_печалба" localSheetId="6">#REF!</definedName>
    <definedName name="Брутна_печалба" localSheetId="7">#REF!</definedName>
    <definedName name="Брутна_печалба" localSheetId="8">#REF!</definedName>
    <definedName name="Брутна_печалба" localSheetId="9">#REF!</definedName>
    <definedName name="Брутна_печалба" localSheetId="24">#REF!</definedName>
    <definedName name="Брутна_печалба" localSheetId="0">#REF!</definedName>
    <definedName name="Брутна_печалба">#REF!</definedName>
    <definedName name="Вземания_по_ДДС" localSheetId="1">#REF!</definedName>
    <definedName name="Вземания_по_ДДС" localSheetId="10">#REF!</definedName>
    <definedName name="Вземания_по_ДДС" localSheetId="16">#REF!</definedName>
    <definedName name="Вземания_по_ДДС" localSheetId="17">#REF!</definedName>
    <definedName name="Вземания_по_ДДС" localSheetId="18">#REF!</definedName>
    <definedName name="Вземания_по_ДДС" localSheetId="20">#REF!</definedName>
    <definedName name="Вземания_по_ДДС" localSheetId="4">#REF!</definedName>
    <definedName name="Вземания_по_ДДС" localSheetId="6">#REF!</definedName>
    <definedName name="Вземания_по_ДДС" localSheetId="7">#REF!</definedName>
    <definedName name="Вземания_по_ДДС" localSheetId="8">#REF!</definedName>
    <definedName name="Вземания_по_ДДС" localSheetId="9">#REF!</definedName>
    <definedName name="Вземания_по_ДДС" localSheetId="24">#REF!</definedName>
    <definedName name="Вземания_по_ДДС" localSheetId="0">#REF!</definedName>
    <definedName name="Вземания_по_ДДС">#REF!</definedName>
    <definedName name="Вземания_по_получени_през_периода_съучастия" localSheetId="7" hidden="1">'[1]Собствен капитал'!$7:$7</definedName>
    <definedName name="Вземания_по_получени_през_периода_съучастия" hidden="1">'[1]Собствен капитал'!$A$7:$IV$7</definedName>
    <definedName name="Внесен_ДДС" localSheetId="1">#REF!</definedName>
    <definedName name="Внесен_ДДС" localSheetId="10">#REF!</definedName>
    <definedName name="Внесен_ДДС" localSheetId="16">#REF!</definedName>
    <definedName name="Внесен_ДДС" localSheetId="17">#REF!</definedName>
    <definedName name="Внесен_ДДС" localSheetId="18">#REF!</definedName>
    <definedName name="Внесен_ДДС" localSheetId="20">#REF!</definedName>
    <definedName name="Внесен_ДДС" localSheetId="4">#REF!</definedName>
    <definedName name="Внесен_ДДС" localSheetId="6">#REF!</definedName>
    <definedName name="Внесен_ДДС" localSheetId="7">#REF!</definedName>
    <definedName name="Внесен_ДДС" localSheetId="8">#REF!</definedName>
    <definedName name="Внесен_ДДС" localSheetId="9">#REF!</definedName>
    <definedName name="Внесен_ДДС" localSheetId="24">#REF!</definedName>
    <definedName name="Внесен_ДДС" localSheetId="0">#REF!</definedName>
    <definedName name="Внесен_ДДС">#REF!</definedName>
    <definedName name="ВС_1" localSheetId="1">#REF!</definedName>
    <definedName name="ВС_1" localSheetId="10">#REF!</definedName>
    <definedName name="ВС_1" localSheetId="16">#REF!</definedName>
    <definedName name="ВС_1" localSheetId="17">#REF!</definedName>
    <definedName name="ВС_1" localSheetId="18">#REF!</definedName>
    <definedName name="ВС_1" localSheetId="20">#REF!</definedName>
    <definedName name="ВС_1" localSheetId="4">#REF!</definedName>
    <definedName name="ВС_1" localSheetId="6">#REF!</definedName>
    <definedName name="ВС_1" localSheetId="7">#REF!</definedName>
    <definedName name="ВС_1" localSheetId="8">#REF!</definedName>
    <definedName name="ВС_1" localSheetId="9">#REF!</definedName>
    <definedName name="ВС_1" localSheetId="24">#REF!</definedName>
    <definedName name="ВС_1" localSheetId="0">#REF!</definedName>
    <definedName name="ВС_1">#REF!</definedName>
    <definedName name="ВС_2" localSheetId="1">#REF!</definedName>
    <definedName name="ВС_2" localSheetId="10">#REF!</definedName>
    <definedName name="ВС_2" localSheetId="16">#REF!</definedName>
    <definedName name="ВС_2" localSheetId="17">#REF!</definedName>
    <definedName name="ВС_2" localSheetId="18">#REF!</definedName>
    <definedName name="ВС_2" localSheetId="20">#REF!</definedName>
    <definedName name="ВС_2" localSheetId="4">#REF!</definedName>
    <definedName name="ВС_2" localSheetId="6">#REF!</definedName>
    <definedName name="ВС_2" localSheetId="7">#REF!</definedName>
    <definedName name="ВС_2" localSheetId="8">#REF!</definedName>
    <definedName name="ВС_2" localSheetId="9">#REF!</definedName>
    <definedName name="ВС_2" localSheetId="24">#REF!</definedName>
    <definedName name="ВС_2" localSheetId="0">#REF!</definedName>
    <definedName name="ВС_2">#REF!</definedName>
    <definedName name="ВС_3" localSheetId="1">#REF!</definedName>
    <definedName name="ВС_3" localSheetId="10">#REF!</definedName>
    <definedName name="ВС_3" localSheetId="16">#REF!</definedName>
    <definedName name="ВС_3" localSheetId="17">#REF!</definedName>
    <definedName name="ВС_3" localSheetId="18">#REF!</definedName>
    <definedName name="ВС_3" localSheetId="20">#REF!</definedName>
    <definedName name="ВС_3" localSheetId="4">#REF!</definedName>
    <definedName name="ВС_3" localSheetId="6">#REF!</definedName>
    <definedName name="ВС_3" localSheetId="7">#REF!</definedName>
    <definedName name="ВС_3" localSheetId="8">#REF!</definedName>
    <definedName name="ВС_3" localSheetId="9">#REF!</definedName>
    <definedName name="ВС_3" localSheetId="24">#REF!</definedName>
    <definedName name="ВС_3" localSheetId="0">#REF!</definedName>
    <definedName name="ВС_3">#REF!</definedName>
    <definedName name="ВС_4" localSheetId="1">#REF!</definedName>
    <definedName name="ВС_4" localSheetId="10">#REF!</definedName>
    <definedName name="ВС_4" localSheetId="16">#REF!</definedName>
    <definedName name="ВС_4" localSheetId="17">#REF!</definedName>
    <definedName name="ВС_4" localSheetId="18">#REF!</definedName>
    <definedName name="ВС_4" localSheetId="20">#REF!</definedName>
    <definedName name="ВС_4" localSheetId="4">#REF!</definedName>
    <definedName name="ВС_4" localSheetId="6">#REF!</definedName>
    <definedName name="ВС_4" localSheetId="7">#REF!</definedName>
    <definedName name="ВС_4" localSheetId="8">#REF!</definedName>
    <definedName name="ВС_4" localSheetId="9">#REF!</definedName>
    <definedName name="ВС_4" localSheetId="24">#REF!</definedName>
    <definedName name="ВС_4" localSheetId="0">#REF!</definedName>
    <definedName name="ВС_4">#REF!</definedName>
    <definedName name="ВС_5" localSheetId="1">#REF!</definedName>
    <definedName name="ВС_5" localSheetId="10">#REF!</definedName>
    <definedName name="ВС_5" localSheetId="16">#REF!</definedName>
    <definedName name="ВС_5" localSheetId="17">#REF!</definedName>
    <definedName name="ВС_5" localSheetId="18">#REF!</definedName>
    <definedName name="ВС_5" localSheetId="20">#REF!</definedName>
    <definedName name="ВС_5" localSheetId="4">#REF!</definedName>
    <definedName name="ВС_5" localSheetId="6">#REF!</definedName>
    <definedName name="ВС_5" localSheetId="7">#REF!</definedName>
    <definedName name="ВС_5" localSheetId="8">#REF!</definedName>
    <definedName name="ВС_5" localSheetId="9">#REF!</definedName>
    <definedName name="ВС_5" localSheetId="24">#REF!</definedName>
    <definedName name="ВС_5" localSheetId="0">#REF!</definedName>
    <definedName name="ВС_5">#REF!</definedName>
    <definedName name="Всичко_инвестиции" localSheetId="1">#REF!</definedName>
    <definedName name="Всичко_инвестиции" localSheetId="10">'10. Финансиране на ИП'!#REF!</definedName>
    <definedName name="Всичко_инвестиции" localSheetId="16">#REF!</definedName>
    <definedName name="Всичко_инвестиции" localSheetId="17">#REF!</definedName>
    <definedName name="Всичко_инвестиции" localSheetId="18">#REF!</definedName>
    <definedName name="Всичко_инвестиции" localSheetId="20">#REF!</definedName>
    <definedName name="Всичко_инвестиции" localSheetId="4">#REF!</definedName>
    <definedName name="Всичко_инвестиции" localSheetId="6">#REF!</definedName>
    <definedName name="Всичко_инвестиции" localSheetId="7">'[2]6. Инвестиции'!#REF!</definedName>
    <definedName name="Всичко_инвестиции" localSheetId="8">#REF!</definedName>
    <definedName name="Всичко_инвестиции" localSheetId="9">#REF!</definedName>
    <definedName name="Всичко_инвестиции" localSheetId="24">#REF!</definedName>
    <definedName name="Всичко_инвестиции" localSheetId="0">#REF!</definedName>
    <definedName name="Всичко_инвестиции">#REF!</definedName>
    <definedName name="Външни_услуги" localSheetId="1">#REF!</definedName>
    <definedName name="Външни_услуги" localSheetId="10">#REF!</definedName>
    <definedName name="Външни_услуги" localSheetId="16">#REF!</definedName>
    <definedName name="Външни_услуги" localSheetId="17">#REF!</definedName>
    <definedName name="Външни_услуги" localSheetId="18">#REF!</definedName>
    <definedName name="Външни_услуги" localSheetId="20">#REF!</definedName>
    <definedName name="Външни_услуги" localSheetId="4">#REF!</definedName>
    <definedName name="Външни_услуги" localSheetId="6">#REF!</definedName>
    <definedName name="Външни_услуги" localSheetId="7">#REF!</definedName>
    <definedName name="Външни_услуги" localSheetId="8">#REF!</definedName>
    <definedName name="Външни_услуги" localSheetId="9">#REF!</definedName>
    <definedName name="Външни_услуги" localSheetId="24">#REF!</definedName>
    <definedName name="Външни_услуги" localSheetId="0">#REF!</definedName>
    <definedName name="Външни_услуги">#REF!</definedName>
    <definedName name="Данъци" localSheetId="1">#REF!</definedName>
    <definedName name="Данъци" localSheetId="10">#REF!</definedName>
    <definedName name="Данъци" localSheetId="16">#REF!</definedName>
    <definedName name="Данъци" localSheetId="17">#REF!</definedName>
    <definedName name="Данъци" localSheetId="18">#REF!</definedName>
    <definedName name="Данъци" localSheetId="20">#REF!</definedName>
    <definedName name="Данъци" localSheetId="4">#REF!</definedName>
    <definedName name="Данъци" localSheetId="6">#REF!</definedName>
    <definedName name="Данъци" localSheetId="7">#REF!</definedName>
    <definedName name="Данъци" localSheetId="8">#REF!</definedName>
    <definedName name="Данъци" localSheetId="9">#REF!</definedName>
    <definedName name="Данъци" localSheetId="24">#REF!</definedName>
    <definedName name="Данъци" localSheetId="0">#REF!</definedName>
    <definedName name="Данъци">#REF!</definedName>
    <definedName name="Данъчен_период" localSheetId="1">#REF!</definedName>
    <definedName name="Данъчен_период" localSheetId="10">#REF!</definedName>
    <definedName name="Данъчен_период" localSheetId="16">#REF!</definedName>
    <definedName name="Данъчен_период" localSheetId="17">#REF!</definedName>
    <definedName name="Данъчен_период" localSheetId="18">#REF!</definedName>
    <definedName name="Данъчен_период" localSheetId="20">#REF!</definedName>
    <definedName name="Данъчен_период" localSheetId="4">#REF!</definedName>
    <definedName name="Данъчен_период" localSheetId="6">#REF!</definedName>
    <definedName name="Данъчен_период" localSheetId="7">#REF!</definedName>
    <definedName name="Данъчен_период" localSheetId="8">#REF!</definedName>
    <definedName name="Данъчен_период" localSheetId="9">#REF!</definedName>
    <definedName name="Данъчен_период" localSheetId="24">#REF!</definedName>
    <definedName name="Данъчен_период" localSheetId="0">#REF!</definedName>
    <definedName name="Данъчен_период">#REF!</definedName>
    <definedName name="Дни_на_оборот_на_запасите" localSheetId="1">#REF!</definedName>
    <definedName name="Дни_на_оборот_на_запасите" localSheetId="10">#REF!</definedName>
    <definedName name="Дни_на_оборот_на_запасите" localSheetId="16">#REF!</definedName>
    <definedName name="Дни_на_оборот_на_запасите" localSheetId="17">#REF!</definedName>
    <definedName name="Дни_на_оборот_на_запасите" localSheetId="18">#REF!</definedName>
    <definedName name="Дни_на_оборот_на_запасите" localSheetId="20">#REF!</definedName>
    <definedName name="Дни_на_оборот_на_запасите" localSheetId="4">#REF!</definedName>
    <definedName name="Дни_на_оборот_на_запасите" localSheetId="6">#REF!</definedName>
    <definedName name="Дни_на_оборот_на_запасите" localSheetId="7">#REF!</definedName>
    <definedName name="Дни_на_оборот_на_запасите" localSheetId="8">#REF!</definedName>
    <definedName name="Дни_на_оборот_на_запасите" localSheetId="9">#REF!</definedName>
    <definedName name="Дни_на_оборот_на_запасите" localSheetId="24">#REF!</definedName>
    <definedName name="Дни_на_оборот_на_запасите" localSheetId="0">#REF!</definedName>
    <definedName name="Дни_на_оборот_на_запасите">#REF!</definedName>
    <definedName name="Дял_на_продажбите_на_кредит" localSheetId="1">#REF!</definedName>
    <definedName name="Дял_на_продажбите_на_кредит" localSheetId="10">#REF!</definedName>
    <definedName name="Дял_на_продажбите_на_кредит" localSheetId="16">#REF!</definedName>
    <definedName name="Дял_на_продажбите_на_кредит" localSheetId="17">#REF!</definedName>
    <definedName name="Дял_на_продажбите_на_кредит" localSheetId="18">#REF!</definedName>
    <definedName name="Дял_на_продажбите_на_кредит" localSheetId="20">#REF!</definedName>
    <definedName name="Дял_на_продажбите_на_кредит" localSheetId="4">#REF!</definedName>
    <definedName name="Дял_на_продажбите_на_кредит" localSheetId="6">#REF!</definedName>
    <definedName name="Дял_на_продажбите_на_кредит" localSheetId="7">#REF!</definedName>
    <definedName name="Дял_на_продажбите_на_кредит" localSheetId="8">#REF!</definedName>
    <definedName name="Дял_на_продажбите_на_кредит" localSheetId="9">#REF!</definedName>
    <definedName name="Дял_на_продажбите_на_кредит" localSheetId="24">#REF!</definedName>
    <definedName name="Дял_на_продажбите_на_кредит" localSheetId="0">#REF!</definedName>
    <definedName name="Дял_на_продажбите_на_кредит">#REF!</definedName>
    <definedName name="Електроенергия" localSheetId="7" hidden="1">[1]Себестойност!$124:$124</definedName>
    <definedName name="Електроенергия" hidden="1">[1]Себестойност!$A$124:$IV$124</definedName>
    <definedName name="Задължения_по_ДДС" localSheetId="1">#REF!</definedName>
    <definedName name="Задължения_по_ДДС" localSheetId="10">#REF!</definedName>
    <definedName name="Задължения_по_ДДС" localSheetId="16">#REF!</definedName>
    <definedName name="Задължения_по_ДДС" localSheetId="17">#REF!</definedName>
    <definedName name="Задължения_по_ДДС" localSheetId="18">#REF!</definedName>
    <definedName name="Задължения_по_ДДС" localSheetId="20">#REF!</definedName>
    <definedName name="Задължения_по_ДДС" localSheetId="4">#REF!</definedName>
    <definedName name="Задължения_по_ДДС" localSheetId="6">#REF!</definedName>
    <definedName name="Задължения_по_ДДС" localSheetId="7">#REF!</definedName>
    <definedName name="Задължения_по_ДДС" localSheetId="8">#REF!</definedName>
    <definedName name="Задължения_по_ДДС" localSheetId="9">#REF!</definedName>
    <definedName name="Задължения_по_ДДС" localSheetId="24">#REF!</definedName>
    <definedName name="Задължения_по_ДДС" localSheetId="0">#REF!</definedName>
    <definedName name="Задължения_по_ДДС">#REF!</definedName>
    <definedName name="Зона_1" localSheetId="1">#REF!</definedName>
    <definedName name="Зона_1" localSheetId="10">#REF!</definedName>
    <definedName name="Зона_1" localSheetId="16">#REF!</definedName>
    <definedName name="Зона_1" localSheetId="17">#REF!</definedName>
    <definedName name="Зона_1" localSheetId="18">#REF!</definedName>
    <definedName name="Зона_1" localSheetId="20">#REF!</definedName>
    <definedName name="Зона_1" localSheetId="4">#REF!</definedName>
    <definedName name="Зона_1" localSheetId="6">#REF!</definedName>
    <definedName name="Зона_1" localSheetId="7">#REF!</definedName>
    <definedName name="Зона_1" localSheetId="8">#REF!</definedName>
    <definedName name="Зона_1" localSheetId="9">#REF!</definedName>
    <definedName name="Зона_1" localSheetId="24">#REF!</definedName>
    <definedName name="Зона_1" localSheetId="0">#REF!</definedName>
    <definedName name="Зона_1">#REF!</definedName>
    <definedName name="Зона_2" localSheetId="1">#REF!</definedName>
    <definedName name="Зона_2" localSheetId="10">#REF!</definedName>
    <definedName name="Зона_2" localSheetId="16">#REF!</definedName>
    <definedName name="Зона_2" localSheetId="17">#REF!</definedName>
    <definedName name="Зона_2" localSheetId="18">#REF!</definedName>
    <definedName name="Зона_2" localSheetId="20">#REF!</definedName>
    <definedName name="Зона_2" localSheetId="4">#REF!</definedName>
    <definedName name="Зона_2" localSheetId="6">#REF!</definedName>
    <definedName name="Зона_2" localSheetId="7">#REF!</definedName>
    <definedName name="Зона_2" localSheetId="8">#REF!</definedName>
    <definedName name="Зона_2" localSheetId="9">#REF!</definedName>
    <definedName name="Зона_2" localSheetId="24">#REF!</definedName>
    <definedName name="Зона_2" localSheetId="0">#REF!</definedName>
    <definedName name="Зона_2">#REF!</definedName>
    <definedName name="Зона_3" localSheetId="1">#REF!</definedName>
    <definedName name="Зона_3" localSheetId="10">#REF!</definedName>
    <definedName name="Зона_3" localSheetId="16">#REF!</definedName>
    <definedName name="Зона_3" localSheetId="17">#REF!</definedName>
    <definedName name="Зона_3" localSheetId="18">#REF!</definedName>
    <definedName name="Зона_3" localSheetId="20">#REF!</definedName>
    <definedName name="Зона_3" localSheetId="4">#REF!</definedName>
    <definedName name="Зона_3" localSheetId="6">#REF!</definedName>
    <definedName name="Зона_3" localSheetId="7">#REF!</definedName>
    <definedName name="Зона_3" localSheetId="8">#REF!</definedName>
    <definedName name="Зона_3" localSheetId="9">#REF!</definedName>
    <definedName name="Зона_3" localSheetId="24">#REF!</definedName>
    <definedName name="Зона_3" localSheetId="0">#REF!</definedName>
    <definedName name="Зона_3">#REF!</definedName>
    <definedName name="Зона_4" localSheetId="1">#REF!</definedName>
    <definedName name="Зона_4" localSheetId="10">#REF!</definedName>
    <definedName name="Зона_4" localSheetId="16">#REF!</definedName>
    <definedName name="Зона_4" localSheetId="17">#REF!</definedName>
    <definedName name="Зона_4" localSheetId="18">#REF!</definedName>
    <definedName name="Зона_4" localSheetId="20">#REF!</definedName>
    <definedName name="Зона_4" localSheetId="4">#REF!</definedName>
    <definedName name="Зона_4" localSheetId="6">#REF!</definedName>
    <definedName name="Зона_4" localSheetId="7">#REF!</definedName>
    <definedName name="Зона_4" localSheetId="8">#REF!</definedName>
    <definedName name="Зона_4" localSheetId="9">#REF!</definedName>
    <definedName name="Зона_4" localSheetId="24">#REF!</definedName>
    <definedName name="Зона_4" localSheetId="0">#REF!</definedName>
    <definedName name="Зона_4">#REF!</definedName>
    <definedName name="Зона_5" localSheetId="1">#REF!</definedName>
    <definedName name="Зона_5" localSheetId="10">#REF!</definedName>
    <definedName name="Зона_5" localSheetId="16">#REF!</definedName>
    <definedName name="Зона_5" localSheetId="17">#REF!</definedName>
    <definedName name="Зона_5" localSheetId="18">#REF!</definedName>
    <definedName name="Зона_5" localSheetId="20">#REF!</definedName>
    <definedName name="Зона_5" localSheetId="4">#REF!</definedName>
    <definedName name="Зона_5" localSheetId="6">#REF!</definedName>
    <definedName name="Зона_5" localSheetId="7">#REF!</definedName>
    <definedName name="Зона_5" localSheetId="8">#REF!</definedName>
    <definedName name="Зона_5" localSheetId="9">#REF!</definedName>
    <definedName name="Зона_5" localSheetId="24">#REF!</definedName>
    <definedName name="Зона_5" localSheetId="0">#REF!</definedName>
    <definedName name="Зона_5">#REF!</definedName>
    <definedName name="Лихви" localSheetId="1">#REF!</definedName>
    <definedName name="Лихви" localSheetId="10">#REF!</definedName>
    <definedName name="Лихви" localSheetId="16">#REF!</definedName>
    <definedName name="Лихви" localSheetId="17">#REF!</definedName>
    <definedName name="Лихви" localSheetId="18">#REF!</definedName>
    <definedName name="Лихви" localSheetId="20">#REF!</definedName>
    <definedName name="Лихви" localSheetId="4">#REF!</definedName>
    <definedName name="Лихви" localSheetId="6">#REF!</definedName>
    <definedName name="Лихви" localSheetId="7">#REF!</definedName>
    <definedName name="Лихви" localSheetId="8">#REF!</definedName>
    <definedName name="Лихви" localSheetId="9">#REF!</definedName>
    <definedName name="Лихви" localSheetId="24">#REF!</definedName>
    <definedName name="Лихви" localSheetId="0">#REF!</definedName>
    <definedName name="Лихви">#REF!</definedName>
    <definedName name="Материали" localSheetId="1">#REF!</definedName>
    <definedName name="Материали" localSheetId="10">#REF!</definedName>
    <definedName name="Материали" localSheetId="16">#REF!</definedName>
    <definedName name="Материали" localSheetId="17">#REF!</definedName>
    <definedName name="Материали" localSheetId="18">#REF!</definedName>
    <definedName name="Материали" localSheetId="20">#REF!</definedName>
    <definedName name="Материали" localSheetId="4">#REF!</definedName>
    <definedName name="Материали" localSheetId="6">#REF!</definedName>
    <definedName name="Материали" localSheetId="7">#REF!</definedName>
    <definedName name="Материали" localSheetId="8">#REF!</definedName>
    <definedName name="Материали" localSheetId="9">#REF!</definedName>
    <definedName name="Материали" localSheetId="24">#REF!</definedName>
    <definedName name="Материали" localSheetId="0">#REF!</definedName>
    <definedName name="Материали">#REF!</definedName>
    <definedName name="Намаление_на_собствения_капитал" localSheetId="7" hidden="1">'[1]Собствен капитал'!$6:$6</definedName>
    <definedName name="Намаление_на_собствения_капитал" hidden="1">'[1]Собствен капитал'!$A$6:$IV$6</definedName>
    <definedName name="Намаление_на_финансиранията" localSheetId="1">#REF!</definedName>
    <definedName name="Намаление_на_финансиранията" localSheetId="10">#REF!</definedName>
    <definedName name="Намаление_на_финансиранията" localSheetId="16">#REF!</definedName>
    <definedName name="Намаление_на_финансиранията" localSheetId="17">#REF!</definedName>
    <definedName name="Намаление_на_финансиранията" localSheetId="18">#REF!</definedName>
    <definedName name="Намаление_на_финансиранията" localSheetId="20">#REF!</definedName>
    <definedName name="Намаление_на_финансиранията" localSheetId="4">#REF!</definedName>
    <definedName name="Намаление_на_финансиранията" localSheetId="6">#REF!</definedName>
    <definedName name="Намаление_на_финансиранията" localSheetId="7">#REF!</definedName>
    <definedName name="Намаление_на_финансиранията" localSheetId="8">#REF!</definedName>
    <definedName name="Намаление_на_финансиранията" localSheetId="9">#REF!</definedName>
    <definedName name="Намаление_на_финансиранията" localSheetId="24">#REF!</definedName>
    <definedName name="Намаление_на_финансиранията" localSheetId="0">#REF!</definedName>
    <definedName name="Намаление_на_финансиранията">#REF!</definedName>
    <definedName name="Начална_година" localSheetId="1">#REF!</definedName>
    <definedName name="Начална_година" localSheetId="10">#REF!</definedName>
    <definedName name="Начална_година" localSheetId="16">#REF!</definedName>
    <definedName name="Начална_година" localSheetId="17">#REF!</definedName>
    <definedName name="Начална_година" localSheetId="18">#REF!</definedName>
    <definedName name="Начална_година" localSheetId="20">#REF!</definedName>
    <definedName name="Начална_година" localSheetId="4">#REF!</definedName>
    <definedName name="Начална_година" localSheetId="6">#REF!</definedName>
    <definedName name="Начална_година" localSheetId="7">#REF!</definedName>
    <definedName name="Начална_година" localSheetId="8">#REF!</definedName>
    <definedName name="Начална_година" localSheetId="9">#REF!</definedName>
    <definedName name="Начална_година" localSheetId="24">#REF!</definedName>
    <definedName name="Начална_година" localSheetId="0">#REF!</definedName>
    <definedName name="Начална_година">#REF!</definedName>
    <definedName name="Общо_разходи_за_заплати" localSheetId="1">#REF!</definedName>
    <definedName name="Общо_разходи_за_заплати" localSheetId="10">#REF!</definedName>
    <definedName name="Общо_разходи_за_заплати" localSheetId="16">#REF!</definedName>
    <definedName name="Общо_разходи_за_заплати" localSheetId="17">#REF!</definedName>
    <definedName name="Общо_разходи_за_заплати" localSheetId="18">#REF!</definedName>
    <definedName name="Общо_разходи_за_заплати" localSheetId="20">#REF!</definedName>
    <definedName name="Общо_разходи_за_заплати" localSheetId="4">#REF!</definedName>
    <definedName name="Общо_разходи_за_заплати" localSheetId="6">#REF!</definedName>
    <definedName name="Общо_разходи_за_заплати" localSheetId="7">#REF!</definedName>
    <definedName name="Общо_разходи_за_заплати" localSheetId="8">#REF!</definedName>
    <definedName name="Общо_разходи_за_заплати" localSheetId="9">#REF!</definedName>
    <definedName name="Общо_разходи_за_заплати" localSheetId="24">#REF!</definedName>
    <definedName name="Общо_разходи_за_заплати" localSheetId="0">#REF!</definedName>
    <definedName name="Общо_разходи_за_заплати">#REF!</definedName>
    <definedName name="Отчетна_стойност_на_продадените_стоки" localSheetId="7" hidden="1">[1]Себестойност!$125:$125</definedName>
    <definedName name="Отчетна_стойност_на_продадените_стоки" hidden="1">[1]Себестойност!$A$125:$IV$125</definedName>
    <definedName name="Печалба_загуба" localSheetId="1">#REF!</definedName>
    <definedName name="Печалба_загуба" localSheetId="10">#REF!</definedName>
    <definedName name="Печалба_загуба" localSheetId="16">#REF!</definedName>
    <definedName name="Печалба_загуба" localSheetId="17">#REF!</definedName>
    <definedName name="Печалба_загуба" localSheetId="18">#REF!</definedName>
    <definedName name="Печалба_загуба" localSheetId="20">#REF!</definedName>
    <definedName name="Печалба_загуба" localSheetId="4">#REF!</definedName>
    <definedName name="Печалба_загуба" localSheetId="6">#REF!</definedName>
    <definedName name="Печалба_загуба" localSheetId="7">#REF!</definedName>
    <definedName name="Печалба_загуба" localSheetId="8">#REF!</definedName>
    <definedName name="Печалба_загуба" localSheetId="9">#REF!</definedName>
    <definedName name="Печалба_загуба" localSheetId="24">#REF!</definedName>
    <definedName name="Печалба_загуба" localSheetId="0">#REF!</definedName>
    <definedName name="Печалба_загуба">#REF!</definedName>
    <definedName name="Платен_ДДС" localSheetId="1">#REF!</definedName>
    <definedName name="Платен_ДДС" localSheetId="10">#REF!</definedName>
    <definedName name="Платен_ДДС" localSheetId="16">#REF!</definedName>
    <definedName name="Платен_ДДС" localSheetId="17">#REF!</definedName>
    <definedName name="Платен_ДДС" localSheetId="18">#REF!</definedName>
    <definedName name="Платен_ДДС" localSheetId="20">#REF!</definedName>
    <definedName name="Платен_ДДС" localSheetId="4">#REF!</definedName>
    <definedName name="Платен_ДДС" localSheetId="6">#REF!</definedName>
    <definedName name="Платен_ДДС" localSheetId="7">#REF!</definedName>
    <definedName name="Платен_ДДС" localSheetId="8">#REF!</definedName>
    <definedName name="Платен_ДДС" localSheetId="9">#REF!</definedName>
    <definedName name="Платен_ДДС" localSheetId="24">#REF!</definedName>
    <definedName name="Платен_ДДС" localSheetId="0">#REF!</definedName>
    <definedName name="Платен_ДДС">#REF!</definedName>
    <definedName name="Погасяване_главници_ДЗ" localSheetId="1">#REF!</definedName>
    <definedName name="Погасяване_главници_ДЗ" localSheetId="10">#REF!</definedName>
    <definedName name="Погасяване_главници_ДЗ" localSheetId="16">#REF!</definedName>
    <definedName name="Погасяване_главници_ДЗ" localSheetId="17">#REF!</definedName>
    <definedName name="Погасяване_главници_ДЗ" localSheetId="18">#REF!</definedName>
    <definedName name="Погасяване_главници_ДЗ" localSheetId="20">#REF!</definedName>
    <definedName name="Погасяване_главници_ДЗ" localSheetId="4">#REF!</definedName>
    <definedName name="Погасяване_главници_ДЗ" localSheetId="6">#REF!</definedName>
    <definedName name="Погасяване_главници_ДЗ" localSheetId="7">#REF!</definedName>
    <definedName name="Погасяване_главници_ДЗ" localSheetId="8">#REF!</definedName>
    <definedName name="Погасяване_главници_ДЗ" localSheetId="9">#REF!</definedName>
    <definedName name="Погасяване_главници_ДЗ" localSheetId="24">#REF!</definedName>
    <definedName name="Погасяване_главници_ДЗ" localSheetId="0">#REF!</definedName>
    <definedName name="Погасяване_главници_ДЗ">#REF!</definedName>
    <definedName name="Погасяване_главници_КЗ" localSheetId="1">#REF!</definedName>
    <definedName name="Погасяване_главници_КЗ" localSheetId="10">#REF!</definedName>
    <definedName name="Погасяване_главници_КЗ" localSheetId="16">#REF!</definedName>
    <definedName name="Погасяване_главници_КЗ" localSheetId="17">#REF!</definedName>
    <definedName name="Погасяване_главници_КЗ" localSheetId="18">#REF!</definedName>
    <definedName name="Погасяване_главници_КЗ" localSheetId="20">#REF!</definedName>
    <definedName name="Погасяване_главници_КЗ" localSheetId="4">#REF!</definedName>
    <definedName name="Погасяване_главници_КЗ" localSheetId="6">#REF!</definedName>
    <definedName name="Погасяване_главници_КЗ" localSheetId="7">#REF!</definedName>
    <definedName name="Погасяване_главници_КЗ" localSheetId="8">#REF!</definedName>
    <definedName name="Погасяване_главници_КЗ" localSheetId="9">#REF!</definedName>
    <definedName name="Погасяване_главници_КЗ" localSheetId="24">#REF!</definedName>
    <definedName name="Погасяване_главници_КЗ" localSheetId="0">#REF!</definedName>
    <definedName name="Погасяване_главници_КЗ">#REF!</definedName>
    <definedName name="Погасяване_главници_ОЗ" localSheetId="1">#REF!</definedName>
    <definedName name="Погасяване_главници_ОЗ" localSheetId="10">#REF!</definedName>
    <definedName name="Погасяване_главници_ОЗ" localSheetId="16">#REF!</definedName>
    <definedName name="Погасяване_главници_ОЗ" localSheetId="17">#REF!</definedName>
    <definedName name="Погасяване_главници_ОЗ" localSheetId="18">#REF!</definedName>
    <definedName name="Погасяване_главници_ОЗ" localSheetId="20">#REF!</definedName>
    <definedName name="Погасяване_главници_ОЗ" localSheetId="4">#REF!</definedName>
    <definedName name="Погасяване_главници_ОЗ" localSheetId="6">#REF!</definedName>
    <definedName name="Погасяване_главници_ОЗ" localSheetId="7">#REF!</definedName>
    <definedName name="Погасяване_главници_ОЗ" localSheetId="8">#REF!</definedName>
    <definedName name="Погасяване_главници_ОЗ" localSheetId="9">#REF!</definedName>
    <definedName name="Погасяване_главници_ОЗ" localSheetId="24">#REF!</definedName>
    <definedName name="Погасяване_главници_ОЗ" localSheetId="0">#REF!</definedName>
    <definedName name="Погасяване_главници_ОЗ">#REF!</definedName>
    <definedName name="Получен_ДДС_от_бюджета_през_периода" localSheetId="1">#REF!</definedName>
    <definedName name="Получен_ДДС_от_бюджета_през_периода" localSheetId="10">#REF!</definedName>
    <definedName name="Получен_ДДС_от_бюджета_през_периода" localSheetId="16">#REF!</definedName>
    <definedName name="Получен_ДДС_от_бюджета_през_периода" localSheetId="17">#REF!</definedName>
    <definedName name="Получен_ДДС_от_бюджета_през_периода" localSheetId="18">#REF!</definedName>
    <definedName name="Получен_ДДС_от_бюджета_през_периода" localSheetId="20">#REF!</definedName>
    <definedName name="Получен_ДДС_от_бюджета_през_периода" localSheetId="4">#REF!</definedName>
    <definedName name="Получен_ДДС_от_бюджета_през_периода" localSheetId="6">#REF!</definedName>
    <definedName name="Получен_ДДС_от_бюджета_през_периода" localSheetId="7">#REF!</definedName>
    <definedName name="Получен_ДДС_от_бюджета_през_периода" localSheetId="8">#REF!</definedName>
    <definedName name="Получен_ДДС_от_бюджета_през_периода" localSheetId="9">#REF!</definedName>
    <definedName name="Получен_ДДС_от_бюджета_през_периода" localSheetId="24">#REF!</definedName>
    <definedName name="Получен_ДДС_от_бюджета_през_периода" localSheetId="0">#REF!</definedName>
    <definedName name="Получен_ДДС_от_бюджета_през_периода">#REF!</definedName>
    <definedName name="Получени_вземания_по_ЗДВ" localSheetId="7" hidden="1">'[1]Собствен капитал'!$5:$5</definedName>
    <definedName name="Получени_вземания_по_ЗДВ" hidden="1">'[1]Собствен капитал'!$A$5:$IV$5</definedName>
    <definedName name="Получени_ДЗ" localSheetId="1">#REF!</definedName>
    <definedName name="Получени_ДЗ" localSheetId="10">#REF!</definedName>
    <definedName name="Получени_ДЗ" localSheetId="16">#REF!</definedName>
    <definedName name="Получени_ДЗ" localSheetId="17">#REF!</definedName>
    <definedName name="Получени_ДЗ" localSheetId="18">#REF!</definedName>
    <definedName name="Получени_ДЗ" localSheetId="20">#REF!</definedName>
    <definedName name="Получени_ДЗ" localSheetId="4">#REF!</definedName>
    <definedName name="Получени_ДЗ" localSheetId="6">#REF!</definedName>
    <definedName name="Получени_ДЗ" localSheetId="7">#REF!</definedName>
    <definedName name="Получени_ДЗ" localSheetId="8">#REF!</definedName>
    <definedName name="Получени_ДЗ" localSheetId="9">#REF!</definedName>
    <definedName name="Получени_ДЗ" localSheetId="24">#REF!</definedName>
    <definedName name="Получени_ДЗ" localSheetId="0">#REF!</definedName>
    <definedName name="Получени_ДЗ">#REF!</definedName>
    <definedName name="Получени_КЗ" localSheetId="1">#REF!</definedName>
    <definedName name="Получени_КЗ" localSheetId="10">#REF!</definedName>
    <definedName name="Получени_КЗ" localSheetId="16">#REF!</definedName>
    <definedName name="Получени_КЗ" localSheetId="17">#REF!</definedName>
    <definedName name="Получени_КЗ" localSheetId="18">#REF!</definedName>
    <definedName name="Получени_КЗ" localSheetId="20">#REF!</definedName>
    <definedName name="Получени_КЗ" localSheetId="4">#REF!</definedName>
    <definedName name="Получени_КЗ" localSheetId="6">#REF!</definedName>
    <definedName name="Получени_КЗ" localSheetId="7">#REF!</definedName>
    <definedName name="Получени_КЗ" localSheetId="8">#REF!</definedName>
    <definedName name="Получени_КЗ" localSheetId="9">#REF!</definedName>
    <definedName name="Получени_КЗ" localSheetId="24">#REF!</definedName>
    <definedName name="Получени_КЗ" localSheetId="0">#REF!</definedName>
    <definedName name="Получени_КЗ">#REF!</definedName>
    <definedName name="Получени_ОЗ" localSheetId="1">#REF!</definedName>
    <definedName name="Получени_ОЗ" localSheetId="10">#REF!</definedName>
    <definedName name="Получени_ОЗ" localSheetId="16">#REF!</definedName>
    <definedName name="Получени_ОЗ" localSheetId="17">#REF!</definedName>
    <definedName name="Получени_ОЗ" localSheetId="18">#REF!</definedName>
    <definedName name="Получени_ОЗ" localSheetId="20">#REF!</definedName>
    <definedName name="Получени_ОЗ" localSheetId="4">#REF!</definedName>
    <definedName name="Получени_ОЗ" localSheetId="6">#REF!</definedName>
    <definedName name="Получени_ОЗ" localSheetId="7">#REF!</definedName>
    <definedName name="Получени_ОЗ" localSheetId="8">#REF!</definedName>
    <definedName name="Получени_ОЗ" localSheetId="9">#REF!</definedName>
    <definedName name="Получени_ОЗ" localSheetId="24">#REF!</definedName>
    <definedName name="Получени_ОЗ" localSheetId="0">#REF!</definedName>
    <definedName name="Получени_ОЗ">#REF!</definedName>
    <definedName name="Получени_съучастия" localSheetId="7" hidden="1">'[1]Собствен капитал'!$4:$4</definedName>
    <definedName name="Получени_съучастия" hidden="1">'[1]Собствен капитал'!$A$4:$IV$4</definedName>
    <definedName name="Получени_финансирания" localSheetId="1">#REF!</definedName>
    <definedName name="Получени_финансирания" localSheetId="10">#REF!</definedName>
    <definedName name="Получени_финансирания" localSheetId="16">#REF!</definedName>
    <definedName name="Получени_финансирания" localSheetId="17">#REF!</definedName>
    <definedName name="Получени_финансирания" localSheetId="18">#REF!</definedName>
    <definedName name="Получени_финансирания" localSheetId="20">#REF!</definedName>
    <definedName name="Получени_финансирания" localSheetId="4">#REF!</definedName>
    <definedName name="Получени_финансирания" localSheetId="6">#REF!</definedName>
    <definedName name="Получени_финансирания" localSheetId="7">#REF!</definedName>
    <definedName name="Получени_финансирания" localSheetId="8">#REF!</definedName>
    <definedName name="Получени_финансирания" localSheetId="9">#REF!</definedName>
    <definedName name="Получени_финансирания" localSheetId="24">#REF!</definedName>
    <definedName name="Получени_финансирания" localSheetId="0">#REF!</definedName>
    <definedName name="Получени_финансирания">#REF!</definedName>
    <definedName name="Продажби" localSheetId="1">#REF!</definedName>
    <definedName name="Продажби" localSheetId="10">#REF!</definedName>
    <definedName name="Продажби" localSheetId="16">#REF!</definedName>
    <definedName name="Продажби" localSheetId="17">#REF!</definedName>
    <definedName name="Продажби" localSheetId="18">#REF!</definedName>
    <definedName name="Продажби" localSheetId="20">#REF!</definedName>
    <definedName name="Продажби" localSheetId="4">#REF!</definedName>
    <definedName name="Продажби" localSheetId="6">#REF!</definedName>
    <definedName name="Продажби" localSheetId="7">#REF!</definedName>
    <definedName name="Продажби" localSheetId="8">#REF!</definedName>
    <definedName name="Продажби" localSheetId="9">#REF!</definedName>
    <definedName name="Продажби" localSheetId="24">#REF!</definedName>
    <definedName name="Продажби" localSheetId="0">#REF!</definedName>
    <definedName name="Продажби">#REF!</definedName>
    <definedName name="Разходи_за_външни_услуги" localSheetId="1">#REF!</definedName>
    <definedName name="Разходи_за_външни_услуги" localSheetId="10">#REF!</definedName>
    <definedName name="Разходи_за_външни_услуги" localSheetId="16">#REF!</definedName>
    <definedName name="Разходи_за_външни_услуги" localSheetId="17">#REF!</definedName>
    <definedName name="Разходи_за_външни_услуги" localSheetId="18">#REF!</definedName>
    <definedName name="Разходи_за_външни_услуги" localSheetId="20">#REF!</definedName>
    <definedName name="Разходи_за_външни_услуги" localSheetId="4">#REF!</definedName>
    <definedName name="Разходи_за_външни_услуги" localSheetId="6">#REF!</definedName>
    <definedName name="Разходи_за_външни_услуги" localSheetId="7">#REF!</definedName>
    <definedName name="Разходи_за_външни_услуги" localSheetId="8">#REF!</definedName>
    <definedName name="Разходи_за_външни_услуги" localSheetId="9">#REF!</definedName>
    <definedName name="Разходи_за_външни_услуги" localSheetId="24">#REF!</definedName>
    <definedName name="Разходи_за_външни_услуги" localSheetId="0">#REF!</definedName>
    <definedName name="Разходи_за_външни_услуги">#REF!</definedName>
    <definedName name="Разходи_за_материали" localSheetId="1">#REF!</definedName>
    <definedName name="Разходи_за_материали" localSheetId="10">#REF!</definedName>
    <definedName name="Разходи_за_материали" localSheetId="16">#REF!</definedName>
    <definedName name="Разходи_за_материали" localSheetId="17">#REF!</definedName>
    <definedName name="Разходи_за_материали" localSheetId="18">#REF!</definedName>
    <definedName name="Разходи_за_материали" localSheetId="20">#REF!</definedName>
    <definedName name="Разходи_за_материали" localSheetId="4">#REF!</definedName>
    <definedName name="Разходи_за_материали" localSheetId="6">#REF!</definedName>
    <definedName name="Разходи_за_материали" localSheetId="7">#REF!</definedName>
    <definedName name="Разходи_за_материали" localSheetId="8">#REF!</definedName>
    <definedName name="Разходи_за_материали" localSheetId="9">#REF!</definedName>
    <definedName name="Разходи_за_материали" localSheetId="24">#REF!</definedName>
    <definedName name="Разходи_за_материали" localSheetId="0">#REF!</definedName>
    <definedName name="Разходи_за_материали">#REF!</definedName>
    <definedName name="Разходи_за_осигуровки" localSheetId="1">#REF!</definedName>
    <definedName name="Разходи_за_осигуровки" localSheetId="10">#REF!</definedName>
    <definedName name="Разходи_за_осигуровки" localSheetId="16">#REF!</definedName>
    <definedName name="Разходи_за_осигуровки" localSheetId="17">#REF!</definedName>
    <definedName name="Разходи_за_осигуровки" localSheetId="18">#REF!</definedName>
    <definedName name="Разходи_за_осигуровки" localSheetId="20">#REF!</definedName>
    <definedName name="Разходи_за_осигуровки" localSheetId="4">#REF!</definedName>
    <definedName name="Разходи_за_осигуровки" localSheetId="6">#REF!</definedName>
    <definedName name="Разходи_за_осигуровки" localSheetId="7">#REF!</definedName>
    <definedName name="Разходи_за_осигуровки" localSheetId="8">#REF!</definedName>
    <definedName name="Разходи_за_осигуровки" localSheetId="9">#REF!</definedName>
    <definedName name="Разходи_за_осигуровки" localSheetId="24">#REF!</definedName>
    <definedName name="Разходи_за_осигуровки" localSheetId="0">#REF!</definedName>
    <definedName name="Разходи_за_осигуровки">#REF!</definedName>
    <definedName name="Срок_на_плащане" localSheetId="1">#REF!</definedName>
    <definedName name="Срок_на_плащане" localSheetId="10">#REF!</definedName>
    <definedName name="Срок_на_плащане" localSheetId="16">#REF!</definedName>
    <definedName name="Срок_на_плащане" localSheetId="17">#REF!</definedName>
    <definedName name="Срок_на_плащане" localSheetId="18">#REF!</definedName>
    <definedName name="Срок_на_плащане" localSheetId="20">#REF!</definedName>
    <definedName name="Срок_на_плащане" localSheetId="4">#REF!</definedName>
    <definedName name="Срок_на_плащане" localSheetId="6">#REF!</definedName>
    <definedName name="Срок_на_плащане" localSheetId="7">#REF!</definedName>
    <definedName name="Срок_на_плащане" localSheetId="8">#REF!</definedName>
    <definedName name="Срок_на_плащане" localSheetId="9">#REF!</definedName>
    <definedName name="Срок_на_плащане" localSheetId="24">#REF!</definedName>
    <definedName name="Срок_на_плащане" localSheetId="0">#REF!</definedName>
    <definedName name="Срок_на_плащане">#REF!</definedName>
    <definedName name="Срок_на_събиране_на_вземанията" localSheetId="1">#REF!</definedName>
    <definedName name="Срок_на_събиране_на_вземанията" localSheetId="10">#REF!</definedName>
    <definedName name="Срок_на_събиране_на_вземанията" localSheetId="16">#REF!</definedName>
    <definedName name="Срок_на_събиране_на_вземанията" localSheetId="17">#REF!</definedName>
    <definedName name="Срок_на_събиране_на_вземанията" localSheetId="18">#REF!</definedName>
    <definedName name="Срок_на_събиране_на_вземанията" localSheetId="20">#REF!</definedName>
    <definedName name="Срок_на_събиране_на_вземанията" localSheetId="4">#REF!</definedName>
    <definedName name="Срок_на_събиране_на_вземанията" localSheetId="6">#REF!</definedName>
    <definedName name="Срок_на_събиране_на_вземанията" localSheetId="7">#REF!</definedName>
    <definedName name="Срок_на_събиране_на_вземанията" localSheetId="8">#REF!</definedName>
    <definedName name="Срок_на_събиране_на_вземанията" localSheetId="9">#REF!</definedName>
    <definedName name="Срок_на_събиране_на_вземанията" localSheetId="24">#REF!</definedName>
    <definedName name="Срок_на_събиране_на_вземанията" localSheetId="0">#REF!</definedName>
    <definedName name="Срок_на_събиране_на_вземанията">#REF!</definedName>
    <definedName name="Ставка_ДДС" localSheetId="1">#REF!</definedName>
    <definedName name="Ставка_ДДС" localSheetId="10">#REF!</definedName>
    <definedName name="Ставка_ДДС" localSheetId="16">#REF!</definedName>
    <definedName name="Ставка_ДДС" localSheetId="17">#REF!</definedName>
    <definedName name="Ставка_ДДС" localSheetId="18">#REF!</definedName>
    <definedName name="Ставка_ДДС" localSheetId="20">#REF!</definedName>
    <definedName name="Ставка_ДДС" localSheetId="4">#REF!</definedName>
    <definedName name="Ставка_ДДС" localSheetId="6">#REF!</definedName>
    <definedName name="Ставка_ДДС" localSheetId="7">#REF!</definedName>
    <definedName name="Ставка_ДДС" localSheetId="8">#REF!</definedName>
    <definedName name="Ставка_ДДС" localSheetId="9">#REF!</definedName>
    <definedName name="Ставка_ДДС" localSheetId="24">#REF!</definedName>
    <definedName name="Ставка_ДДС" localSheetId="0">#REF!</definedName>
    <definedName name="Ставка_ДДС">#REF!</definedName>
    <definedName name="Събран_ДДС" localSheetId="1">#REF!</definedName>
    <definedName name="Събран_ДДС" localSheetId="10">#REF!</definedName>
    <definedName name="Събран_ДДС" localSheetId="16">#REF!</definedName>
    <definedName name="Събран_ДДС" localSheetId="17">#REF!</definedName>
    <definedName name="Събран_ДДС" localSheetId="18">#REF!</definedName>
    <definedName name="Събран_ДДС" localSheetId="20">#REF!</definedName>
    <definedName name="Събран_ДДС" localSheetId="4">#REF!</definedName>
    <definedName name="Събран_ДДС" localSheetId="6">#REF!</definedName>
    <definedName name="Събран_ДДС" localSheetId="7">#REF!</definedName>
    <definedName name="Събран_ДДС" localSheetId="8">#REF!</definedName>
    <definedName name="Събран_ДДС" localSheetId="9">#REF!</definedName>
    <definedName name="Събран_ДДС" localSheetId="24">#REF!</definedName>
    <definedName name="Събран_ДДС" localSheetId="0">#REF!</definedName>
    <definedName name="Събран_ДДС">#REF!</definedName>
    <definedName name="Услуга_1" localSheetId="1">#REF!</definedName>
    <definedName name="Услуга_1" localSheetId="10">#REF!</definedName>
    <definedName name="Услуга_1" localSheetId="16">#REF!</definedName>
    <definedName name="Услуга_1" localSheetId="17">#REF!</definedName>
    <definedName name="Услуга_1" localSheetId="18">#REF!</definedName>
    <definedName name="Услуга_1" localSheetId="20">#REF!</definedName>
    <definedName name="Услуга_1" localSheetId="4">#REF!</definedName>
    <definedName name="Услуга_1" localSheetId="6">#REF!</definedName>
    <definedName name="Услуга_1" localSheetId="7">#REF!</definedName>
    <definedName name="Услуга_1" localSheetId="8">#REF!</definedName>
    <definedName name="Услуга_1" localSheetId="9">#REF!</definedName>
    <definedName name="Услуга_1" localSheetId="24">#REF!</definedName>
    <definedName name="Услуга_1" localSheetId="0">#REF!</definedName>
    <definedName name="Услуга_1">#REF!</definedName>
    <definedName name="Услуга_2" localSheetId="1">#REF!</definedName>
    <definedName name="Услуга_2" localSheetId="10">#REF!</definedName>
    <definedName name="Услуга_2" localSheetId="16">#REF!</definedName>
    <definedName name="Услуга_2" localSheetId="17">#REF!</definedName>
    <definedName name="Услуга_2" localSheetId="18">#REF!</definedName>
    <definedName name="Услуга_2" localSheetId="20">#REF!</definedName>
    <definedName name="Услуга_2" localSheetId="4">#REF!</definedName>
    <definedName name="Услуга_2" localSheetId="6">#REF!</definedName>
    <definedName name="Услуга_2" localSheetId="7">#REF!</definedName>
    <definedName name="Услуга_2" localSheetId="8">#REF!</definedName>
    <definedName name="Услуга_2" localSheetId="9">#REF!</definedName>
    <definedName name="Услуга_2" localSheetId="24">#REF!</definedName>
    <definedName name="Услуга_2" localSheetId="0">#REF!</definedName>
    <definedName name="Услуга_2">#REF!</definedName>
    <definedName name="Услуга_3" localSheetId="1">#REF!</definedName>
    <definedName name="Услуга_3" localSheetId="10">#REF!</definedName>
    <definedName name="Услуга_3" localSheetId="16">#REF!</definedName>
    <definedName name="Услуга_3" localSheetId="17">#REF!</definedName>
    <definedName name="Услуга_3" localSheetId="18">#REF!</definedName>
    <definedName name="Услуга_3" localSheetId="20">#REF!</definedName>
    <definedName name="Услуга_3" localSheetId="4">#REF!</definedName>
    <definedName name="Услуга_3" localSheetId="6">#REF!</definedName>
    <definedName name="Услуга_3" localSheetId="7">#REF!</definedName>
    <definedName name="Услуга_3" localSheetId="8">#REF!</definedName>
    <definedName name="Услуга_3" localSheetId="9">#REF!</definedName>
    <definedName name="Услуга_3" localSheetId="24">#REF!</definedName>
    <definedName name="Услуга_3" localSheetId="0">#REF!</definedName>
    <definedName name="Услуга_3">#REF!</definedName>
    <definedName name="Услуга_4" localSheetId="1">#REF!</definedName>
    <definedName name="Услуга_4" localSheetId="10">#REF!</definedName>
    <definedName name="Услуга_4" localSheetId="16">#REF!</definedName>
    <definedName name="Услуга_4" localSheetId="17">#REF!</definedName>
    <definedName name="Услуга_4" localSheetId="18">#REF!</definedName>
    <definedName name="Услуга_4" localSheetId="20">#REF!</definedName>
    <definedName name="Услуга_4" localSheetId="4">#REF!</definedName>
    <definedName name="Услуга_4" localSheetId="6">#REF!</definedName>
    <definedName name="Услуга_4" localSheetId="7">#REF!</definedName>
    <definedName name="Услуга_4" localSheetId="8">#REF!</definedName>
    <definedName name="Услуга_4" localSheetId="9">#REF!</definedName>
    <definedName name="Услуга_4" localSheetId="24">#REF!</definedName>
    <definedName name="Услуга_4" localSheetId="0">#REF!</definedName>
    <definedName name="Услуга_4">#REF!</definedName>
    <definedName name="Услуга_5" localSheetId="1">#REF!</definedName>
    <definedName name="Услуга_5" localSheetId="10">#REF!</definedName>
    <definedName name="Услуга_5" localSheetId="16">#REF!</definedName>
    <definedName name="Услуга_5" localSheetId="17">#REF!</definedName>
    <definedName name="Услуга_5" localSheetId="18">#REF!</definedName>
    <definedName name="Услуга_5" localSheetId="20">#REF!</definedName>
    <definedName name="Услуга_5" localSheetId="4">#REF!</definedName>
    <definedName name="Услуга_5" localSheetId="6">#REF!</definedName>
    <definedName name="Услуга_5" localSheetId="7">#REF!</definedName>
    <definedName name="Услуга_5" localSheetId="8">#REF!</definedName>
    <definedName name="Услуга_5" localSheetId="9">#REF!</definedName>
    <definedName name="Услуга_5" localSheetId="24">#REF!</definedName>
    <definedName name="Услуга_5" localSheetId="0">#REF!</definedName>
    <definedName name="Услуга_5">#REF!</definedName>
    <definedName name="Услуги_и_др." localSheetId="7" hidden="1">[1]Себестойност!$126:$126</definedName>
    <definedName name="Услуги_и_др." hidden="1">[1]Себестойност!$A$126:$IV$126</definedName>
    <definedName name="ЧПП" localSheetId="1">#REF!</definedName>
    <definedName name="ЧПП" localSheetId="10">#REF!</definedName>
    <definedName name="ЧПП" localSheetId="16">#REF!</definedName>
    <definedName name="ЧПП" localSheetId="17">#REF!</definedName>
    <definedName name="ЧПП" localSheetId="18">#REF!</definedName>
    <definedName name="ЧПП" localSheetId="20">#REF!</definedName>
    <definedName name="ЧПП" localSheetId="4">#REF!</definedName>
    <definedName name="ЧПП" localSheetId="6">#REF!</definedName>
    <definedName name="ЧПП" localSheetId="7">#REF!</definedName>
    <definedName name="ЧПП" localSheetId="8">#REF!</definedName>
    <definedName name="ЧПП" localSheetId="9">#REF!</definedName>
    <definedName name="ЧПП" localSheetId="24">#REF!</definedName>
    <definedName name="ЧПП" localSheetId="0">#REF!</definedName>
    <definedName name="ЧПП">#REF!</definedName>
  </definedNames>
  <calcPr calcId="152511"/>
</workbook>
</file>

<file path=xl/calcChain.xml><?xml version="1.0" encoding="utf-8"?>
<calcChain xmlns="http://schemas.openxmlformats.org/spreadsheetml/2006/main">
  <c r="Z108" i="62" l="1"/>
  <c r="Z107" i="62"/>
  <c r="Z106" i="62"/>
  <c r="Z105" i="62"/>
  <c r="Z104" i="62"/>
  <c r="Z103" i="62"/>
  <c r="Z102" i="62"/>
  <c r="Z101" i="62"/>
  <c r="Z100" i="62"/>
  <c r="Z98" i="62"/>
  <c r="Z97" i="62"/>
  <c r="Z96" i="62"/>
  <c r="Z95" i="62"/>
  <c r="Z93" i="62"/>
  <c r="Z92" i="62"/>
  <c r="Z91" i="62"/>
  <c r="Z90" i="62"/>
  <c r="Z89" i="62"/>
  <c r="Z88" i="62"/>
  <c r="Z87" i="62"/>
  <c r="Z86" i="62"/>
  <c r="Z85" i="62"/>
  <c r="Z84" i="62"/>
  <c r="Z82" i="62"/>
  <c r="Z81" i="62"/>
  <c r="Z78" i="62"/>
  <c r="Z77" i="62"/>
  <c r="Z76" i="62"/>
  <c r="Z75" i="62"/>
  <c r="Z73" i="62"/>
  <c r="Z72" i="62"/>
  <c r="Z70" i="62"/>
  <c r="Z69" i="62"/>
  <c r="Z68" i="62"/>
  <c r="Z66" i="62"/>
  <c r="Z65" i="62"/>
  <c r="Z63" i="62"/>
  <c r="Z62" i="62"/>
  <c r="Z59" i="62"/>
  <c r="Z58" i="62"/>
  <c r="Z57" i="62"/>
  <c r="Z56" i="62"/>
  <c r="Z55" i="62"/>
  <c r="Z54" i="62"/>
  <c r="Z53" i="62"/>
  <c r="Z52" i="62"/>
  <c r="Z51" i="62"/>
  <c r="Z49" i="62"/>
  <c r="Z48" i="62"/>
  <c r="Z47" i="62"/>
  <c r="Z46" i="62"/>
  <c r="Z44" i="62"/>
  <c r="Z43" i="62"/>
  <c r="Z42" i="62"/>
  <c r="Z41" i="62"/>
  <c r="Z40" i="62"/>
  <c r="Z39" i="62"/>
  <c r="Z38" i="62"/>
  <c r="Z37" i="62"/>
  <c r="Z36" i="62"/>
  <c r="Z35" i="62"/>
  <c r="Z33" i="62"/>
  <c r="Z32" i="62"/>
  <c r="Z29" i="62"/>
  <c r="Z28" i="62"/>
  <c r="Z27" i="62"/>
  <c r="Z26" i="62"/>
  <c r="Z24" i="62"/>
  <c r="Z23" i="62"/>
  <c r="Z21" i="62"/>
  <c r="Z20" i="62"/>
  <c r="Z19" i="62"/>
  <c r="Z17" i="62"/>
  <c r="Z16" i="62"/>
  <c r="Z14" i="62"/>
  <c r="Z13" i="62"/>
  <c r="C68" i="39" l="1"/>
  <c r="C64" i="7" l="1"/>
  <c r="J64" i="7"/>
  <c r="C65" i="7"/>
  <c r="C66" i="7"/>
  <c r="J65" i="7"/>
  <c r="J66" i="7"/>
  <c r="W23" i="7" l="1"/>
  <c r="V23" i="7"/>
  <c r="U23" i="7"/>
  <c r="T23" i="7"/>
  <c r="S23" i="7"/>
  <c r="R23" i="7"/>
  <c r="Q23" i="7"/>
  <c r="P23" i="7"/>
  <c r="O23" i="7"/>
  <c r="N23" i="7"/>
  <c r="M23" i="7"/>
  <c r="L23" i="7"/>
  <c r="K23" i="7"/>
  <c r="J23" i="7"/>
  <c r="I23" i="7"/>
  <c r="H23" i="7"/>
  <c r="G23" i="7"/>
  <c r="F23" i="7"/>
  <c r="E23" i="7"/>
  <c r="D23" i="7"/>
  <c r="C23" i="7"/>
  <c r="J20" i="58" l="1"/>
  <c r="I20" i="58"/>
  <c r="H20" i="58"/>
  <c r="G20" i="58"/>
  <c r="F20" i="58"/>
  <c r="E20" i="58"/>
  <c r="D20" i="58"/>
  <c r="J15" i="58"/>
  <c r="I15" i="58"/>
  <c r="H15" i="58"/>
  <c r="G15" i="58"/>
  <c r="F15" i="58"/>
  <c r="E15" i="58"/>
  <c r="D15" i="58"/>
  <c r="M6" i="2" l="1"/>
  <c r="R30" i="53"/>
  <c r="Q30" i="53"/>
  <c r="W30" i="53" s="1"/>
  <c r="K30" i="53"/>
  <c r="J30" i="53"/>
  <c r="O30" i="53" s="1"/>
  <c r="D30" i="53"/>
  <c r="C30" i="53"/>
  <c r="G30" i="53" s="1"/>
  <c r="L30" i="53" l="1"/>
  <c r="T30" i="53"/>
  <c r="H30" i="53"/>
  <c r="E30" i="53"/>
  <c r="F30" i="53"/>
  <c r="I30" i="53"/>
  <c r="P30" i="53"/>
  <c r="V30" i="53"/>
  <c r="M30" i="53"/>
  <c r="U30" i="53"/>
  <c r="N30" i="53"/>
  <c r="S30" i="53"/>
  <c r="F34" i="62" l="1"/>
  <c r="Z34" i="62"/>
  <c r="Z83" i="62"/>
  <c r="S83" i="62"/>
  <c r="L83" i="62"/>
  <c r="E83" i="62"/>
  <c r="K34" i="62"/>
  <c r="J34" i="62"/>
  <c r="I34" i="62"/>
  <c r="H34" i="62"/>
  <c r="G34" i="62"/>
  <c r="E34" i="62"/>
  <c r="Y34" i="62"/>
  <c r="X34" i="62"/>
  <c r="W34" i="62"/>
  <c r="V34" i="62"/>
  <c r="U34" i="62"/>
  <c r="T34" i="62"/>
  <c r="S34" i="62"/>
  <c r="R34" i="62"/>
  <c r="Q34" i="62"/>
  <c r="P34" i="62"/>
  <c r="O34" i="62"/>
  <c r="N34" i="62"/>
  <c r="M34" i="62"/>
  <c r="L34" i="62"/>
  <c r="Z91" i="51"/>
  <c r="S91" i="51"/>
  <c r="L91" i="51"/>
  <c r="E91" i="51"/>
  <c r="AF42" i="51"/>
  <c r="AE42" i="51"/>
  <c r="AD42" i="51"/>
  <c r="AC42" i="51"/>
  <c r="AB42" i="51"/>
  <c r="AA42" i="51"/>
  <c r="Z42" i="51"/>
  <c r="Y42" i="51"/>
  <c r="X42" i="51"/>
  <c r="W42" i="51"/>
  <c r="V42" i="51"/>
  <c r="U42" i="51"/>
  <c r="T42" i="51"/>
  <c r="S42" i="51"/>
  <c r="R42" i="51"/>
  <c r="Q42" i="51"/>
  <c r="P42" i="51"/>
  <c r="O42" i="51"/>
  <c r="N42" i="51"/>
  <c r="M42" i="51"/>
  <c r="L42" i="51"/>
  <c r="K42" i="51"/>
  <c r="J42" i="51"/>
  <c r="I42" i="51"/>
  <c r="H42" i="51"/>
  <c r="G42" i="51"/>
  <c r="F42" i="51"/>
  <c r="E42" i="51"/>
  <c r="T193" i="50"/>
  <c r="U193" i="50" s="1"/>
  <c r="V193" i="50" s="1"/>
  <c r="W193" i="50" s="1"/>
  <c r="X193" i="50" s="1"/>
  <c r="Y193" i="50" s="1"/>
  <c r="T194" i="50"/>
  <c r="U194" i="50" s="1"/>
  <c r="V194" i="50" s="1"/>
  <c r="W194" i="50" s="1"/>
  <c r="X194" i="50" s="1"/>
  <c r="Y194" i="50" s="1"/>
  <c r="T195" i="50"/>
  <c r="U195" i="50" s="1"/>
  <c r="V195" i="50" s="1"/>
  <c r="W195" i="50" s="1"/>
  <c r="X195" i="50" s="1"/>
  <c r="Y195" i="50" s="1"/>
  <c r="T196" i="50"/>
  <c r="U196" i="50" s="1"/>
  <c r="V196" i="50" s="1"/>
  <c r="W196" i="50" s="1"/>
  <c r="X196" i="50" s="1"/>
  <c r="Y196" i="50" s="1"/>
  <c r="T197" i="50"/>
  <c r="U197" i="50" s="1"/>
  <c r="V197" i="50" s="1"/>
  <c r="W197" i="50" s="1"/>
  <c r="X197" i="50" s="1"/>
  <c r="Y197" i="50" s="1"/>
  <c r="T198" i="50"/>
  <c r="U198" i="50" s="1"/>
  <c r="V198" i="50" s="1"/>
  <c r="W198" i="50" s="1"/>
  <c r="X198" i="50" s="1"/>
  <c r="Y198" i="50" s="1"/>
  <c r="T199" i="50"/>
  <c r="U199" i="50" s="1"/>
  <c r="V199" i="50" s="1"/>
  <c r="W199" i="50" s="1"/>
  <c r="X199" i="50" s="1"/>
  <c r="Y199" i="50" s="1"/>
  <c r="T200" i="50"/>
  <c r="U200" i="50" s="1"/>
  <c r="V200" i="50" s="1"/>
  <c r="W200" i="50" s="1"/>
  <c r="X200" i="50" s="1"/>
  <c r="Y200" i="50" s="1"/>
  <c r="T201" i="50"/>
  <c r="U201" i="50" s="1"/>
  <c r="V201" i="50" s="1"/>
  <c r="W201" i="50" s="1"/>
  <c r="X201" i="50" s="1"/>
  <c r="Y201" i="50" s="1"/>
  <c r="T202" i="50"/>
  <c r="U202" i="50" s="1"/>
  <c r="V202" i="50" s="1"/>
  <c r="W202" i="50" s="1"/>
  <c r="X202" i="50" s="1"/>
  <c r="Y202" i="50" s="1"/>
  <c r="T203" i="50"/>
  <c r="U203" i="50" s="1"/>
  <c r="V203" i="50" s="1"/>
  <c r="W203" i="50" s="1"/>
  <c r="X203" i="50" s="1"/>
  <c r="Y203" i="50" s="1"/>
  <c r="T204" i="50"/>
  <c r="U204" i="50" s="1"/>
  <c r="V204" i="50" s="1"/>
  <c r="W204" i="50" s="1"/>
  <c r="X204" i="50" s="1"/>
  <c r="Y204" i="50" s="1"/>
  <c r="T205" i="50"/>
  <c r="U205" i="50" s="1"/>
  <c r="V205" i="50" s="1"/>
  <c r="W205" i="50" s="1"/>
  <c r="X205" i="50" s="1"/>
  <c r="Y205" i="50" s="1"/>
  <c r="T206" i="50"/>
  <c r="U206" i="50" s="1"/>
  <c r="V206" i="50" s="1"/>
  <c r="W206" i="50" s="1"/>
  <c r="X206" i="50" s="1"/>
  <c r="Y206" i="50" s="1"/>
  <c r="T207" i="50"/>
  <c r="U207" i="50" s="1"/>
  <c r="V207" i="50" s="1"/>
  <c r="W207" i="50" s="1"/>
  <c r="X207" i="50" s="1"/>
  <c r="Y207" i="50" s="1"/>
  <c r="T208" i="50"/>
  <c r="U208" i="50" s="1"/>
  <c r="V208" i="50" s="1"/>
  <c r="W208" i="50" s="1"/>
  <c r="X208" i="50" s="1"/>
  <c r="Y208" i="50" s="1"/>
  <c r="T209" i="50"/>
  <c r="U209" i="50" s="1"/>
  <c r="V209" i="50" s="1"/>
  <c r="W209" i="50" s="1"/>
  <c r="X209" i="50" s="1"/>
  <c r="Y209" i="50" s="1"/>
  <c r="T210" i="50"/>
  <c r="U210" i="50" s="1"/>
  <c r="V210" i="50" s="1"/>
  <c r="W210" i="50" s="1"/>
  <c r="X210" i="50" s="1"/>
  <c r="Y210" i="50" s="1"/>
  <c r="T211" i="50"/>
  <c r="U211" i="50" s="1"/>
  <c r="V211" i="50" s="1"/>
  <c r="W211" i="50" s="1"/>
  <c r="X211" i="50" s="1"/>
  <c r="Y211" i="50" s="1"/>
  <c r="T212" i="50"/>
  <c r="U212" i="50" s="1"/>
  <c r="V212" i="50" s="1"/>
  <c r="W212" i="50" s="1"/>
  <c r="X212" i="50" s="1"/>
  <c r="Y212" i="50" s="1"/>
  <c r="T192" i="50"/>
  <c r="U192" i="50" s="1"/>
  <c r="V192" i="50" s="1"/>
  <c r="W192" i="50" s="1"/>
  <c r="X192" i="50" s="1"/>
  <c r="Y192" i="50" s="1"/>
  <c r="M193" i="50"/>
  <c r="N193" i="50" s="1"/>
  <c r="O193" i="50" s="1"/>
  <c r="P193" i="50" s="1"/>
  <c r="Q193" i="50" s="1"/>
  <c r="R193" i="50" s="1"/>
  <c r="M194" i="50"/>
  <c r="N194" i="50" s="1"/>
  <c r="O194" i="50" s="1"/>
  <c r="P194" i="50" s="1"/>
  <c r="Q194" i="50" s="1"/>
  <c r="R194" i="50" s="1"/>
  <c r="M195" i="50"/>
  <c r="N195" i="50" s="1"/>
  <c r="O195" i="50" s="1"/>
  <c r="P195" i="50" s="1"/>
  <c r="Q195" i="50" s="1"/>
  <c r="R195" i="50" s="1"/>
  <c r="M196" i="50"/>
  <c r="N196" i="50" s="1"/>
  <c r="O196" i="50" s="1"/>
  <c r="P196" i="50" s="1"/>
  <c r="Q196" i="50" s="1"/>
  <c r="R196" i="50" s="1"/>
  <c r="M197" i="50"/>
  <c r="N197" i="50" s="1"/>
  <c r="O197" i="50" s="1"/>
  <c r="P197" i="50" s="1"/>
  <c r="Q197" i="50" s="1"/>
  <c r="R197" i="50" s="1"/>
  <c r="M198" i="50"/>
  <c r="N198" i="50" s="1"/>
  <c r="O198" i="50" s="1"/>
  <c r="P198" i="50" s="1"/>
  <c r="Q198" i="50" s="1"/>
  <c r="R198" i="50" s="1"/>
  <c r="M199" i="50"/>
  <c r="N199" i="50" s="1"/>
  <c r="O199" i="50" s="1"/>
  <c r="P199" i="50" s="1"/>
  <c r="Q199" i="50" s="1"/>
  <c r="R199" i="50" s="1"/>
  <c r="M200" i="50"/>
  <c r="N200" i="50" s="1"/>
  <c r="O200" i="50" s="1"/>
  <c r="P200" i="50" s="1"/>
  <c r="Q200" i="50" s="1"/>
  <c r="R200" i="50" s="1"/>
  <c r="M201" i="50"/>
  <c r="N201" i="50" s="1"/>
  <c r="O201" i="50" s="1"/>
  <c r="P201" i="50" s="1"/>
  <c r="Q201" i="50" s="1"/>
  <c r="R201" i="50" s="1"/>
  <c r="M202" i="50"/>
  <c r="N202" i="50" s="1"/>
  <c r="O202" i="50" s="1"/>
  <c r="P202" i="50" s="1"/>
  <c r="Q202" i="50" s="1"/>
  <c r="R202" i="50" s="1"/>
  <c r="M203" i="50"/>
  <c r="N203" i="50" s="1"/>
  <c r="O203" i="50" s="1"/>
  <c r="P203" i="50" s="1"/>
  <c r="Q203" i="50" s="1"/>
  <c r="R203" i="50" s="1"/>
  <c r="M204" i="50"/>
  <c r="N204" i="50" s="1"/>
  <c r="O204" i="50" s="1"/>
  <c r="P204" i="50" s="1"/>
  <c r="Q204" i="50" s="1"/>
  <c r="R204" i="50" s="1"/>
  <c r="M205" i="50"/>
  <c r="N205" i="50" s="1"/>
  <c r="O205" i="50" s="1"/>
  <c r="P205" i="50" s="1"/>
  <c r="Q205" i="50" s="1"/>
  <c r="R205" i="50" s="1"/>
  <c r="M206" i="50"/>
  <c r="N206" i="50" s="1"/>
  <c r="O206" i="50" s="1"/>
  <c r="P206" i="50" s="1"/>
  <c r="Q206" i="50" s="1"/>
  <c r="R206" i="50" s="1"/>
  <c r="M207" i="50"/>
  <c r="N207" i="50" s="1"/>
  <c r="O207" i="50" s="1"/>
  <c r="P207" i="50" s="1"/>
  <c r="Q207" i="50" s="1"/>
  <c r="R207" i="50" s="1"/>
  <c r="M208" i="50"/>
  <c r="N208" i="50" s="1"/>
  <c r="O208" i="50" s="1"/>
  <c r="P208" i="50" s="1"/>
  <c r="Q208" i="50" s="1"/>
  <c r="R208" i="50" s="1"/>
  <c r="M209" i="50"/>
  <c r="N209" i="50" s="1"/>
  <c r="O209" i="50" s="1"/>
  <c r="P209" i="50" s="1"/>
  <c r="Q209" i="50" s="1"/>
  <c r="R209" i="50" s="1"/>
  <c r="M210" i="50"/>
  <c r="N210" i="50" s="1"/>
  <c r="O210" i="50" s="1"/>
  <c r="P210" i="50" s="1"/>
  <c r="Q210" i="50" s="1"/>
  <c r="R210" i="50" s="1"/>
  <c r="M211" i="50"/>
  <c r="N211" i="50" s="1"/>
  <c r="O211" i="50" s="1"/>
  <c r="P211" i="50" s="1"/>
  <c r="Q211" i="50" s="1"/>
  <c r="R211" i="50" s="1"/>
  <c r="M212" i="50"/>
  <c r="N212" i="50" s="1"/>
  <c r="O212" i="50" s="1"/>
  <c r="P212" i="50" s="1"/>
  <c r="Q212" i="50" s="1"/>
  <c r="R212" i="50" s="1"/>
  <c r="M192" i="50"/>
  <c r="N192" i="50" s="1"/>
  <c r="O192" i="50" s="1"/>
  <c r="P192" i="50" s="1"/>
  <c r="Q192" i="50" s="1"/>
  <c r="R192" i="50" s="1"/>
  <c r="F193" i="50"/>
  <c r="G193" i="50" s="1"/>
  <c r="H193" i="50" s="1"/>
  <c r="I193" i="50" s="1"/>
  <c r="J193" i="50" s="1"/>
  <c r="K193" i="50" s="1"/>
  <c r="F194" i="50"/>
  <c r="G194" i="50" s="1"/>
  <c r="H194" i="50" s="1"/>
  <c r="I194" i="50" s="1"/>
  <c r="J194" i="50" s="1"/>
  <c r="K194" i="50" s="1"/>
  <c r="F195" i="50"/>
  <c r="G195" i="50" s="1"/>
  <c r="H195" i="50" s="1"/>
  <c r="I195" i="50" s="1"/>
  <c r="J195" i="50" s="1"/>
  <c r="K195" i="50" s="1"/>
  <c r="F196" i="50"/>
  <c r="G196" i="50" s="1"/>
  <c r="H196" i="50" s="1"/>
  <c r="I196" i="50" s="1"/>
  <c r="J196" i="50" s="1"/>
  <c r="K196" i="50" s="1"/>
  <c r="F197" i="50"/>
  <c r="G197" i="50" s="1"/>
  <c r="H197" i="50" s="1"/>
  <c r="I197" i="50" s="1"/>
  <c r="J197" i="50" s="1"/>
  <c r="K197" i="50" s="1"/>
  <c r="F198" i="50"/>
  <c r="G198" i="50" s="1"/>
  <c r="H198" i="50" s="1"/>
  <c r="I198" i="50" s="1"/>
  <c r="J198" i="50" s="1"/>
  <c r="K198" i="50" s="1"/>
  <c r="F199" i="50"/>
  <c r="G199" i="50" s="1"/>
  <c r="H199" i="50" s="1"/>
  <c r="I199" i="50" s="1"/>
  <c r="J199" i="50" s="1"/>
  <c r="K199" i="50" s="1"/>
  <c r="F200" i="50"/>
  <c r="G200" i="50" s="1"/>
  <c r="H200" i="50" s="1"/>
  <c r="I200" i="50" s="1"/>
  <c r="J200" i="50" s="1"/>
  <c r="K200" i="50" s="1"/>
  <c r="F201" i="50"/>
  <c r="G201" i="50" s="1"/>
  <c r="H201" i="50" s="1"/>
  <c r="I201" i="50" s="1"/>
  <c r="J201" i="50" s="1"/>
  <c r="K201" i="50" s="1"/>
  <c r="F202" i="50"/>
  <c r="G202" i="50" s="1"/>
  <c r="H202" i="50" s="1"/>
  <c r="I202" i="50" s="1"/>
  <c r="J202" i="50" s="1"/>
  <c r="K202" i="50" s="1"/>
  <c r="F203" i="50"/>
  <c r="G203" i="50" s="1"/>
  <c r="H203" i="50" s="1"/>
  <c r="I203" i="50" s="1"/>
  <c r="J203" i="50" s="1"/>
  <c r="K203" i="50" s="1"/>
  <c r="F204" i="50"/>
  <c r="G204" i="50" s="1"/>
  <c r="H204" i="50" s="1"/>
  <c r="I204" i="50" s="1"/>
  <c r="J204" i="50" s="1"/>
  <c r="K204" i="50" s="1"/>
  <c r="F205" i="50"/>
  <c r="G205" i="50" s="1"/>
  <c r="H205" i="50" s="1"/>
  <c r="I205" i="50" s="1"/>
  <c r="J205" i="50" s="1"/>
  <c r="K205" i="50" s="1"/>
  <c r="F206" i="50"/>
  <c r="G206" i="50" s="1"/>
  <c r="H206" i="50" s="1"/>
  <c r="I206" i="50" s="1"/>
  <c r="J206" i="50" s="1"/>
  <c r="K206" i="50" s="1"/>
  <c r="F207" i="50"/>
  <c r="G207" i="50" s="1"/>
  <c r="H207" i="50" s="1"/>
  <c r="I207" i="50" s="1"/>
  <c r="J207" i="50" s="1"/>
  <c r="K207" i="50" s="1"/>
  <c r="F208" i="50"/>
  <c r="G208" i="50" s="1"/>
  <c r="H208" i="50" s="1"/>
  <c r="I208" i="50" s="1"/>
  <c r="J208" i="50" s="1"/>
  <c r="K208" i="50" s="1"/>
  <c r="F209" i="50"/>
  <c r="G209" i="50" s="1"/>
  <c r="H209" i="50" s="1"/>
  <c r="I209" i="50" s="1"/>
  <c r="J209" i="50" s="1"/>
  <c r="K209" i="50" s="1"/>
  <c r="F210" i="50"/>
  <c r="G210" i="50" s="1"/>
  <c r="H210" i="50" s="1"/>
  <c r="I210" i="50" s="1"/>
  <c r="J210" i="50" s="1"/>
  <c r="K210" i="50" s="1"/>
  <c r="F211" i="50"/>
  <c r="G211" i="50" s="1"/>
  <c r="H211" i="50" s="1"/>
  <c r="I211" i="50" s="1"/>
  <c r="J211" i="50" s="1"/>
  <c r="K211" i="50" s="1"/>
  <c r="F212" i="50"/>
  <c r="G212" i="50" s="1"/>
  <c r="H212" i="50" s="1"/>
  <c r="I212" i="50" s="1"/>
  <c r="J212" i="50" s="1"/>
  <c r="K212" i="50" s="1"/>
  <c r="F192" i="50"/>
  <c r="G192" i="50" s="1"/>
  <c r="H192" i="50" s="1"/>
  <c r="I192" i="50" s="1"/>
  <c r="J192" i="50" s="1"/>
  <c r="K192" i="50" s="1"/>
  <c r="T156" i="62"/>
  <c r="U156" i="62" s="1"/>
  <c r="V156" i="62" s="1"/>
  <c r="W156" i="62" s="1"/>
  <c r="X156" i="62" s="1"/>
  <c r="Y156" i="62" s="1"/>
  <c r="T157" i="62"/>
  <c r="U157" i="62" s="1"/>
  <c r="V157" i="62" s="1"/>
  <c r="W157" i="62" s="1"/>
  <c r="X157" i="62" s="1"/>
  <c r="Y157" i="62" s="1"/>
  <c r="T158" i="62"/>
  <c r="U158" i="62" s="1"/>
  <c r="V158" i="62" s="1"/>
  <c r="W158" i="62" s="1"/>
  <c r="X158" i="62" s="1"/>
  <c r="Y158" i="62" s="1"/>
  <c r="T159" i="62"/>
  <c r="U159" i="62" s="1"/>
  <c r="V159" i="62" s="1"/>
  <c r="W159" i="62" s="1"/>
  <c r="X159" i="62" s="1"/>
  <c r="Y159" i="62" s="1"/>
  <c r="T160" i="62"/>
  <c r="U160" i="62" s="1"/>
  <c r="V160" i="62" s="1"/>
  <c r="W160" i="62" s="1"/>
  <c r="X160" i="62" s="1"/>
  <c r="Y160" i="62" s="1"/>
  <c r="T161" i="62"/>
  <c r="U161" i="62" s="1"/>
  <c r="V161" i="62" s="1"/>
  <c r="W161" i="62" s="1"/>
  <c r="X161" i="62" s="1"/>
  <c r="Y161" i="62" s="1"/>
  <c r="T162" i="62"/>
  <c r="U162" i="62" s="1"/>
  <c r="V162" i="62" s="1"/>
  <c r="W162" i="62" s="1"/>
  <c r="X162" i="62" s="1"/>
  <c r="Y162" i="62" s="1"/>
  <c r="T163" i="62"/>
  <c r="U163" i="62" s="1"/>
  <c r="V163" i="62" s="1"/>
  <c r="W163" i="62" s="1"/>
  <c r="X163" i="62" s="1"/>
  <c r="Y163" i="62" s="1"/>
  <c r="T164" i="62"/>
  <c r="U164" i="62" s="1"/>
  <c r="V164" i="62" s="1"/>
  <c r="W164" i="62" s="1"/>
  <c r="X164" i="62" s="1"/>
  <c r="Y164" i="62" s="1"/>
  <c r="T165" i="62"/>
  <c r="U165" i="62" s="1"/>
  <c r="V165" i="62" s="1"/>
  <c r="W165" i="62" s="1"/>
  <c r="X165" i="62" s="1"/>
  <c r="Y165" i="62" s="1"/>
  <c r="T166" i="62"/>
  <c r="U166" i="62" s="1"/>
  <c r="V166" i="62" s="1"/>
  <c r="W166" i="62" s="1"/>
  <c r="X166" i="62" s="1"/>
  <c r="Y166" i="62" s="1"/>
  <c r="T167" i="62"/>
  <c r="U167" i="62" s="1"/>
  <c r="V167" i="62" s="1"/>
  <c r="W167" i="62" s="1"/>
  <c r="X167" i="62" s="1"/>
  <c r="Y167" i="62" s="1"/>
  <c r="T168" i="62"/>
  <c r="U168" i="62" s="1"/>
  <c r="V168" i="62" s="1"/>
  <c r="W168" i="62" s="1"/>
  <c r="X168" i="62" s="1"/>
  <c r="Y168" i="62" s="1"/>
  <c r="T169" i="62"/>
  <c r="U169" i="62" s="1"/>
  <c r="V169" i="62" s="1"/>
  <c r="W169" i="62" s="1"/>
  <c r="X169" i="62" s="1"/>
  <c r="Y169" i="62" s="1"/>
  <c r="T170" i="62"/>
  <c r="U170" i="62" s="1"/>
  <c r="V170" i="62" s="1"/>
  <c r="W170" i="62" s="1"/>
  <c r="X170" i="62" s="1"/>
  <c r="Y170" i="62" s="1"/>
  <c r="T171" i="62"/>
  <c r="U171" i="62" s="1"/>
  <c r="V171" i="62" s="1"/>
  <c r="W171" i="62" s="1"/>
  <c r="X171" i="62" s="1"/>
  <c r="Y171" i="62" s="1"/>
  <c r="T172" i="62"/>
  <c r="U172" i="62" s="1"/>
  <c r="V172" i="62" s="1"/>
  <c r="W172" i="62" s="1"/>
  <c r="X172" i="62" s="1"/>
  <c r="Y172" i="62" s="1"/>
  <c r="T173" i="62"/>
  <c r="U173" i="62" s="1"/>
  <c r="V173" i="62" s="1"/>
  <c r="W173" i="62" s="1"/>
  <c r="X173" i="62" s="1"/>
  <c r="Y173" i="62" s="1"/>
  <c r="T174" i="62"/>
  <c r="U174" i="62" s="1"/>
  <c r="V174" i="62" s="1"/>
  <c r="W174" i="62" s="1"/>
  <c r="X174" i="62" s="1"/>
  <c r="Y174" i="62" s="1"/>
  <c r="T175" i="62"/>
  <c r="U175" i="62" s="1"/>
  <c r="V175" i="62" s="1"/>
  <c r="W175" i="62" s="1"/>
  <c r="X175" i="62" s="1"/>
  <c r="Y175" i="62" s="1"/>
  <c r="T155" i="62"/>
  <c r="U155" i="62" s="1"/>
  <c r="V155" i="62" s="1"/>
  <c r="W155" i="62" s="1"/>
  <c r="X155" i="62" s="1"/>
  <c r="Y155" i="62" s="1"/>
  <c r="M156" i="62"/>
  <c r="N156" i="62" s="1"/>
  <c r="O156" i="62" s="1"/>
  <c r="P156" i="62" s="1"/>
  <c r="Q156" i="62" s="1"/>
  <c r="R156" i="62" s="1"/>
  <c r="M157" i="62"/>
  <c r="N157" i="62" s="1"/>
  <c r="O157" i="62" s="1"/>
  <c r="P157" i="62" s="1"/>
  <c r="Q157" i="62" s="1"/>
  <c r="R157" i="62" s="1"/>
  <c r="M158" i="62"/>
  <c r="N158" i="62" s="1"/>
  <c r="O158" i="62" s="1"/>
  <c r="P158" i="62" s="1"/>
  <c r="Q158" i="62" s="1"/>
  <c r="R158" i="62" s="1"/>
  <c r="M159" i="62"/>
  <c r="N159" i="62" s="1"/>
  <c r="O159" i="62" s="1"/>
  <c r="P159" i="62" s="1"/>
  <c r="Q159" i="62" s="1"/>
  <c r="R159" i="62" s="1"/>
  <c r="M160" i="62"/>
  <c r="N160" i="62" s="1"/>
  <c r="O160" i="62" s="1"/>
  <c r="P160" i="62" s="1"/>
  <c r="Q160" i="62" s="1"/>
  <c r="R160" i="62" s="1"/>
  <c r="M161" i="62"/>
  <c r="N161" i="62" s="1"/>
  <c r="O161" i="62" s="1"/>
  <c r="P161" i="62" s="1"/>
  <c r="Q161" i="62" s="1"/>
  <c r="R161" i="62" s="1"/>
  <c r="M162" i="62"/>
  <c r="N162" i="62" s="1"/>
  <c r="O162" i="62" s="1"/>
  <c r="P162" i="62" s="1"/>
  <c r="Q162" i="62" s="1"/>
  <c r="R162" i="62" s="1"/>
  <c r="M163" i="62"/>
  <c r="N163" i="62" s="1"/>
  <c r="O163" i="62" s="1"/>
  <c r="P163" i="62" s="1"/>
  <c r="Q163" i="62" s="1"/>
  <c r="R163" i="62" s="1"/>
  <c r="M164" i="62"/>
  <c r="N164" i="62" s="1"/>
  <c r="O164" i="62" s="1"/>
  <c r="P164" i="62" s="1"/>
  <c r="Q164" i="62" s="1"/>
  <c r="R164" i="62" s="1"/>
  <c r="M165" i="62"/>
  <c r="N165" i="62" s="1"/>
  <c r="O165" i="62" s="1"/>
  <c r="P165" i="62" s="1"/>
  <c r="Q165" i="62" s="1"/>
  <c r="R165" i="62" s="1"/>
  <c r="M166" i="62"/>
  <c r="N166" i="62" s="1"/>
  <c r="O166" i="62" s="1"/>
  <c r="P166" i="62" s="1"/>
  <c r="Q166" i="62" s="1"/>
  <c r="R166" i="62" s="1"/>
  <c r="M167" i="62"/>
  <c r="N167" i="62" s="1"/>
  <c r="O167" i="62" s="1"/>
  <c r="P167" i="62" s="1"/>
  <c r="Q167" i="62" s="1"/>
  <c r="R167" i="62" s="1"/>
  <c r="M168" i="62"/>
  <c r="N168" i="62" s="1"/>
  <c r="O168" i="62" s="1"/>
  <c r="P168" i="62" s="1"/>
  <c r="Q168" i="62" s="1"/>
  <c r="R168" i="62" s="1"/>
  <c r="M169" i="62"/>
  <c r="N169" i="62" s="1"/>
  <c r="O169" i="62" s="1"/>
  <c r="P169" i="62" s="1"/>
  <c r="Q169" i="62" s="1"/>
  <c r="R169" i="62" s="1"/>
  <c r="M170" i="62"/>
  <c r="N170" i="62" s="1"/>
  <c r="O170" i="62" s="1"/>
  <c r="P170" i="62" s="1"/>
  <c r="Q170" i="62" s="1"/>
  <c r="R170" i="62" s="1"/>
  <c r="M171" i="62"/>
  <c r="N171" i="62" s="1"/>
  <c r="O171" i="62" s="1"/>
  <c r="P171" i="62" s="1"/>
  <c r="Q171" i="62" s="1"/>
  <c r="R171" i="62" s="1"/>
  <c r="M172" i="62"/>
  <c r="N172" i="62" s="1"/>
  <c r="O172" i="62" s="1"/>
  <c r="P172" i="62" s="1"/>
  <c r="Q172" i="62" s="1"/>
  <c r="R172" i="62" s="1"/>
  <c r="M173" i="62"/>
  <c r="N173" i="62" s="1"/>
  <c r="O173" i="62" s="1"/>
  <c r="P173" i="62" s="1"/>
  <c r="Q173" i="62" s="1"/>
  <c r="R173" i="62" s="1"/>
  <c r="M174" i="62"/>
  <c r="N174" i="62" s="1"/>
  <c r="O174" i="62" s="1"/>
  <c r="P174" i="62" s="1"/>
  <c r="Q174" i="62" s="1"/>
  <c r="R174" i="62" s="1"/>
  <c r="M175" i="62"/>
  <c r="N175" i="62" s="1"/>
  <c r="O175" i="62" s="1"/>
  <c r="P175" i="62" s="1"/>
  <c r="Q175" i="62" s="1"/>
  <c r="R175" i="62" s="1"/>
  <c r="M155" i="62"/>
  <c r="N155" i="62" s="1"/>
  <c r="O155" i="62" s="1"/>
  <c r="P155" i="62" s="1"/>
  <c r="Q155" i="62" s="1"/>
  <c r="R155" i="62" s="1"/>
  <c r="F156" i="62"/>
  <c r="G156" i="62" s="1"/>
  <c r="H156" i="62" s="1"/>
  <c r="I156" i="62" s="1"/>
  <c r="J156" i="62" s="1"/>
  <c r="K156" i="62" s="1"/>
  <c r="F157" i="62"/>
  <c r="G157" i="62" s="1"/>
  <c r="H157" i="62" s="1"/>
  <c r="I157" i="62" s="1"/>
  <c r="J157" i="62" s="1"/>
  <c r="K157" i="62" s="1"/>
  <c r="F158" i="62"/>
  <c r="G158" i="62" s="1"/>
  <c r="H158" i="62" s="1"/>
  <c r="I158" i="62" s="1"/>
  <c r="J158" i="62" s="1"/>
  <c r="K158" i="62" s="1"/>
  <c r="F159" i="62"/>
  <c r="G159" i="62" s="1"/>
  <c r="H159" i="62" s="1"/>
  <c r="I159" i="62" s="1"/>
  <c r="J159" i="62" s="1"/>
  <c r="K159" i="62" s="1"/>
  <c r="F160" i="62"/>
  <c r="G160" i="62" s="1"/>
  <c r="H160" i="62" s="1"/>
  <c r="I160" i="62" s="1"/>
  <c r="J160" i="62" s="1"/>
  <c r="K160" i="62" s="1"/>
  <c r="F161" i="62"/>
  <c r="G161" i="62" s="1"/>
  <c r="H161" i="62" s="1"/>
  <c r="I161" i="62" s="1"/>
  <c r="J161" i="62" s="1"/>
  <c r="K161" i="62" s="1"/>
  <c r="F162" i="62"/>
  <c r="G162" i="62" s="1"/>
  <c r="H162" i="62" s="1"/>
  <c r="I162" i="62" s="1"/>
  <c r="J162" i="62" s="1"/>
  <c r="K162" i="62" s="1"/>
  <c r="F163" i="62"/>
  <c r="G163" i="62" s="1"/>
  <c r="H163" i="62" s="1"/>
  <c r="I163" i="62" s="1"/>
  <c r="J163" i="62" s="1"/>
  <c r="K163" i="62" s="1"/>
  <c r="F164" i="62"/>
  <c r="G164" i="62" s="1"/>
  <c r="H164" i="62" s="1"/>
  <c r="I164" i="62" s="1"/>
  <c r="J164" i="62" s="1"/>
  <c r="K164" i="62" s="1"/>
  <c r="F165" i="62"/>
  <c r="G165" i="62" s="1"/>
  <c r="H165" i="62" s="1"/>
  <c r="I165" i="62" s="1"/>
  <c r="J165" i="62" s="1"/>
  <c r="K165" i="62" s="1"/>
  <c r="F166" i="62"/>
  <c r="G166" i="62" s="1"/>
  <c r="H166" i="62" s="1"/>
  <c r="I166" i="62" s="1"/>
  <c r="J166" i="62" s="1"/>
  <c r="K166" i="62" s="1"/>
  <c r="F167" i="62"/>
  <c r="G167" i="62" s="1"/>
  <c r="H167" i="62" s="1"/>
  <c r="I167" i="62" s="1"/>
  <c r="J167" i="62" s="1"/>
  <c r="K167" i="62" s="1"/>
  <c r="F168" i="62"/>
  <c r="G168" i="62" s="1"/>
  <c r="H168" i="62" s="1"/>
  <c r="I168" i="62" s="1"/>
  <c r="J168" i="62" s="1"/>
  <c r="K168" i="62" s="1"/>
  <c r="F169" i="62"/>
  <c r="G169" i="62" s="1"/>
  <c r="H169" i="62" s="1"/>
  <c r="I169" i="62" s="1"/>
  <c r="J169" i="62" s="1"/>
  <c r="K169" i="62" s="1"/>
  <c r="F170" i="62"/>
  <c r="G170" i="62" s="1"/>
  <c r="H170" i="62" s="1"/>
  <c r="I170" i="62" s="1"/>
  <c r="J170" i="62" s="1"/>
  <c r="K170" i="62" s="1"/>
  <c r="F171" i="62"/>
  <c r="G171" i="62" s="1"/>
  <c r="H171" i="62" s="1"/>
  <c r="I171" i="62" s="1"/>
  <c r="J171" i="62" s="1"/>
  <c r="K171" i="62" s="1"/>
  <c r="F172" i="62"/>
  <c r="G172" i="62" s="1"/>
  <c r="H172" i="62" s="1"/>
  <c r="I172" i="62" s="1"/>
  <c r="J172" i="62" s="1"/>
  <c r="K172" i="62" s="1"/>
  <c r="F173" i="62"/>
  <c r="G173" i="62" s="1"/>
  <c r="H173" i="62" s="1"/>
  <c r="I173" i="62" s="1"/>
  <c r="J173" i="62" s="1"/>
  <c r="K173" i="62" s="1"/>
  <c r="F174" i="62"/>
  <c r="G174" i="62" s="1"/>
  <c r="H174" i="62" s="1"/>
  <c r="I174" i="62" s="1"/>
  <c r="J174" i="62" s="1"/>
  <c r="K174" i="62" s="1"/>
  <c r="F175" i="62"/>
  <c r="G175" i="62" s="1"/>
  <c r="H175" i="62" s="1"/>
  <c r="I175" i="62" s="1"/>
  <c r="J175" i="62" s="1"/>
  <c r="K175" i="62" s="1"/>
  <c r="F155" i="62"/>
  <c r="G155" i="62" s="1"/>
  <c r="H155" i="62" s="1"/>
  <c r="I155" i="62" s="1"/>
  <c r="J155" i="62" s="1"/>
  <c r="K155" i="62" s="1"/>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H132" i="62"/>
  <c r="G132" i="62"/>
  <c r="F132" i="62"/>
  <c r="E132" i="62"/>
  <c r="F92" i="62" l="1"/>
  <c r="G92" i="62" s="1"/>
  <c r="H92" i="62" s="1"/>
  <c r="T92" i="62"/>
  <c r="U92" i="62" s="1"/>
  <c r="V92" i="62" s="1"/>
  <c r="W92" i="62" s="1"/>
  <c r="X92" i="62" s="1"/>
  <c r="M92" i="62"/>
  <c r="N92" i="62" s="1"/>
  <c r="O92" i="62" s="1"/>
  <c r="Y92" i="62" l="1"/>
  <c r="P92" i="62"/>
  <c r="I92" i="62"/>
  <c r="Z12" i="62"/>
  <c r="Z15" i="62"/>
  <c r="Z22" i="62"/>
  <c r="Z25" i="62"/>
  <c r="Z31" i="62"/>
  <c r="Z30" i="62" s="1"/>
  <c r="Z45" i="62"/>
  <c r="Z50" i="62"/>
  <c r="Z61" i="62"/>
  <c r="Z64" i="62"/>
  <c r="Z71" i="62"/>
  <c r="Z74" i="62"/>
  <c r="Z80" i="62"/>
  <c r="Z79" i="62" s="1"/>
  <c r="Z94" i="62"/>
  <c r="Z99" i="62"/>
  <c r="Z110" i="62"/>
  <c r="AA110" i="62"/>
  <c r="AB110" i="62"/>
  <c r="AC110" i="62"/>
  <c r="AD110" i="62"/>
  <c r="AE110" i="62"/>
  <c r="AF110" i="62"/>
  <c r="Z154" i="62"/>
  <c r="AA154" i="62"/>
  <c r="AB154" i="62"/>
  <c r="AC154" i="62"/>
  <c r="AD154" i="62"/>
  <c r="AE154" i="62"/>
  <c r="AF154" i="62"/>
  <c r="Z181" i="62"/>
  <c r="AA182" i="62"/>
  <c r="Z186" i="62"/>
  <c r="AA187" i="62"/>
  <c r="H38" i="47"/>
  <c r="C38" i="47"/>
  <c r="D38" i="47"/>
  <c r="E38" i="47"/>
  <c r="F38" i="47"/>
  <c r="G38" i="47"/>
  <c r="B38" i="47"/>
  <c r="Z18" i="62" l="1"/>
  <c r="Z67" i="62"/>
  <c r="Z60" i="62" s="1"/>
  <c r="Q92" i="62"/>
  <c r="J92" i="62"/>
  <c r="Z11" i="62"/>
  <c r="AB11" i="62"/>
  <c r="AD11" i="62"/>
  <c r="AC11" i="62"/>
  <c r="AE11" i="62"/>
  <c r="AA11" i="62"/>
  <c r="AF11" i="62"/>
  <c r="S62" i="50"/>
  <c r="L62" i="50"/>
  <c r="E62" i="50"/>
  <c r="S37" i="50"/>
  <c r="L37" i="50"/>
  <c r="E37" i="50"/>
  <c r="S12" i="50"/>
  <c r="L12" i="50"/>
  <c r="E12" i="50"/>
  <c r="R92" i="62" l="1"/>
  <c r="K92" i="62"/>
  <c r="AA60" i="62"/>
  <c r="Z107" i="51"/>
  <c r="Z106" i="51"/>
  <c r="Z105" i="51"/>
  <c r="Z104" i="51"/>
  <c r="Z103" i="51"/>
  <c r="Z102" i="51"/>
  <c r="Z101" i="51"/>
  <c r="Z100" i="51"/>
  <c r="Z99" i="51"/>
  <c r="Z97" i="51"/>
  <c r="Z96" i="51"/>
  <c r="Z95" i="51"/>
  <c r="Z94" i="51"/>
  <c r="Z92" i="51"/>
  <c r="Z90" i="51"/>
  <c r="Z89" i="51"/>
  <c r="Z88" i="51"/>
  <c r="Z87" i="51"/>
  <c r="Z86" i="51"/>
  <c r="Z85" i="51"/>
  <c r="Z84" i="51"/>
  <c r="Z83" i="51"/>
  <c r="Z81" i="51"/>
  <c r="Z80" i="51"/>
  <c r="Z77" i="51"/>
  <c r="S107" i="51"/>
  <c r="S106" i="51"/>
  <c r="S105" i="51"/>
  <c r="S104" i="51"/>
  <c r="S103" i="51"/>
  <c r="S102" i="51"/>
  <c r="S101" i="51"/>
  <c r="S100" i="51"/>
  <c r="S99" i="51"/>
  <c r="S97" i="51"/>
  <c r="S96" i="51"/>
  <c r="S95" i="51"/>
  <c r="S94" i="51"/>
  <c r="S92" i="51"/>
  <c r="S90" i="51"/>
  <c r="S89" i="51"/>
  <c r="S88" i="51"/>
  <c r="S87" i="51"/>
  <c r="S86" i="51"/>
  <c r="S85" i="51"/>
  <c r="S84" i="51"/>
  <c r="S83" i="51"/>
  <c r="S81" i="51"/>
  <c r="S80" i="51"/>
  <c r="S77" i="51"/>
  <c r="L77" i="51"/>
  <c r="L107" i="51"/>
  <c r="L106" i="51"/>
  <c r="L105" i="51"/>
  <c r="L104" i="51"/>
  <c r="L103" i="51"/>
  <c r="L102" i="51"/>
  <c r="L101" i="51"/>
  <c r="L100" i="51"/>
  <c r="L99" i="51"/>
  <c r="L97" i="51"/>
  <c r="L96" i="51"/>
  <c r="L95" i="51"/>
  <c r="L94" i="51"/>
  <c r="L92" i="51"/>
  <c r="L90" i="51"/>
  <c r="L89" i="51"/>
  <c r="L88" i="51"/>
  <c r="L87" i="51"/>
  <c r="L86" i="51"/>
  <c r="L85" i="51"/>
  <c r="L84" i="51"/>
  <c r="L83" i="51"/>
  <c r="L81" i="51"/>
  <c r="L80" i="51"/>
  <c r="Z76" i="51"/>
  <c r="Z75" i="51"/>
  <c r="Z74" i="51"/>
  <c r="Z72" i="51"/>
  <c r="Z71" i="51"/>
  <c r="Z69" i="51"/>
  <c r="Z68" i="51"/>
  <c r="Z67" i="51"/>
  <c r="Z65" i="51"/>
  <c r="Z64" i="51"/>
  <c r="Z62" i="51"/>
  <c r="Z61" i="51"/>
  <c r="S76" i="51"/>
  <c r="S75" i="51"/>
  <c r="S74" i="51"/>
  <c r="S72" i="51"/>
  <c r="S71" i="51"/>
  <c r="S69" i="51"/>
  <c r="S68" i="51"/>
  <c r="S67" i="51"/>
  <c r="S65" i="51"/>
  <c r="S64" i="51"/>
  <c r="S62" i="51"/>
  <c r="S61" i="51"/>
  <c r="L76" i="51"/>
  <c r="L75" i="51"/>
  <c r="L74" i="51"/>
  <c r="L72" i="51"/>
  <c r="L71" i="51"/>
  <c r="L69" i="51"/>
  <c r="L68" i="51"/>
  <c r="L67" i="51"/>
  <c r="L65" i="51"/>
  <c r="L64" i="51"/>
  <c r="L62" i="51"/>
  <c r="L61" i="51"/>
  <c r="Z82" i="51" l="1"/>
  <c r="L82" i="51"/>
  <c r="S82" i="51"/>
  <c r="AB60" i="62"/>
  <c r="AC60" i="62"/>
  <c r="E68" i="50"/>
  <c r="R31" i="7"/>
  <c r="Q31" i="7"/>
  <c r="AE106" i="41" l="1"/>
  <c r="AE105" i="41"/>
  <c r="AE100" i="41"/>
  <c r="AE99" i="41"/>
  <c r="AD60" i="62" l="1"/>
  <c r="AE60" i="62"/>
  <c r="AL79" i="54"/>
  <c r="AL72" i="54" s="1"/>
  <c r="AK79" i="54"/>
  <c r="AK72" i="54" s="1"/>
  <c r="AJ79" i="54"/>
  <c r="AJ72" i="54" s="1"/>
  <c r="AI79" i="54"/>
  <c r="AI72" i="54" s="1"/>
  <c r="AH79" i="54"/>
  <c r="AH72" i="54" s="1"/>
  <c r="AG79" i="54"/>
  <c r="AG72" i="54" s="1"/>
  <c r="AF79" i="54"/>
  <c r="AF72" i="54" s="1"/>
  <c r="AE79" i="54"/>
  <c r="AE72" i="54" s="1"/>
  <c r="AD79" i="54"/>
  <c r="AD72" i="54" s="1"/>
  <c r="AC79" i="54"/>
  <c r="AC72" i="54" s="1"/>
  <c r="Z79" i="54"/>
  <c r="Z72" i="54" s="1"/>
  <c r="Y79" i="54"/>
  <c r="Y72" i="54" s="1"/>
  <c r="X79" i="54"/>
  <c r="X72" i="54" s="1"/>
  <c r="W79" i="54"/>
  <c r="W72" i="54" s="1"/>
  <c r="V79" i="54"/>
  <c r="V72" i="54" s="1"/>
  <c r="U79" i="54"/>
  <c r="U72" i="54" s="1"/>
  <c r="T79" i="54"/>
  <c r="S79" i="54"/>
  <c r="R79" i="54"/>
  <c r="R72" i="54" s="1"/>
  <c r="Q79" i="54"/>
  <c r="Q72" i="54" s="1"/>
  <c r="N79" i="54"/>
  <c r="N72" i="54" s="1"/>
  <c r="M79" i="54"/>
  <c r="M72" i="54" s="1"/>
  <c r="L79" i="54"/>
  <c r="L72" i="54" s="1"/>
  <c r="K79" i="54"/>
  <c r="K72" i="54" s="1"/>
  <c r="J79" i="54"/>
  <c r="J72" i="54" s="1"/>
  <c r="I79" i="54"/>
  <c r="I72" i="54" s="1"/>
  <c r="H79" i="54"/>
  <c r="H72" i="54" s="1"/>
  <c r="G79" i="54"/>
  <c r="G72" i="54" s="1"/>
  <c r="F79" i="54"/>
  <c r="F72" i="54" s="1"/>
  <c r="E79" i="54"/>
  <c r="E72" i="54" s="1"/>
  <c r="T72" i="54"/>
  <c r="S72" i="54"/>
  <c r="AL66" i="54"/>
  <c r="AK66" i="54"/>
  <c r="AJ66" i="54"/>
  <c r="AI66" i="54"/>
  <c r="AH66" i="54"/>
  <c r="AG66" i="54"/>
  <c r="AF66" i="54"/>
  <c r="AE66" i="54"/>
  <c r="AD66" i="54"/>
  <c r="AC66" i="54"/>
  <c r="Z66" i="54"/>
  <c r="Y66" i="54"/>
  <c r="X66" i="54"/>
  <c r="W66" i="54"/>
  <c r="V66" i="54"/>
  <c r="U66" i="54"/>
  <c r="T66" i="54"/>
  <c r="S66" i="54"/>
  <c r="R66" i="54"/>
  <c r="Q66" i="54"/>
  <c r="N66" i="54"/>
  <c r="M66" i="54"/>
  <c r="L66" i="54"/>
  <c r="K66" i="54"/>
  <c r="J66" i="54"/>
  <c r="I66" i="54"/>
  <c r="H66" i="54"/>
  <c r="G66" i="54"/>
  <c r="F66" i="54"/>
  <c r="E66" i="54"/>
  <c r="AL61" i="54"/>
  <c r="AK61" i="54"/>
  <c r="AJ61" i="54"/>
  <c r="AI61" i="54"/>
  <c r="AH61" i="54"/>
  <c r="AG61" i="54"/>
  <c r="AF61" i="54"/>
  <c r="AE61" i="54"/>
  <c r="AD61" i="54"/>
  <c r="AC61" i="54"/>
  <c r="Z61" i="54"/>
  <c r="Y61" i="54"/>
  <c r="X61" i="54"/>
  <c r="W61" i="54"/>
  <c r="V61" i="54"/>
  <c r="U61" i="54"/>
  <c r="T61" i="54"/>
  <c r="S61" i="54"/>
  <c r="R61" i="54"/>
  <c r="Q61" i="54"/>
  <c r="N61" i="54"/>
  <c r="M61" i="54"/>
  <c r="L61" i="54"/>
  <c r="K61" i="54"/>
  <c r="J61" i="54"/>
  <c r="I61" i="54"/>
  <c r="H61" i="54"/>
  <c r="G61" i="54"/>
  <c r="F61" i="54"/>
  <c r="E61" i="54"/>
  <c r="AL57" i="54"/>
  <c r="AK57" i="54"/>
  <c r="AJ57" i="54"/>
  <c r="AI57" i="54"/>
  <c r="AH57" i="54"/>
  <c r="AG57" i="54"/>
  <c r="AF57" i="54"/>
  <c r="AE57" i="54"/>
  <c r="AD57" i="54"/>
  <c r="AC57" i="54"/>
  <c r="Z57" i="54"/>
  <c r="Y57" i="54"/>
  <c r="X57" i="54"/>
  <c r="W57" i="54"/>
  <c r="V57" i="54"/>
  <c r="U57" i="54"/>
  <c r="T57" i="54"/>
  <c r="S57" i="54"/>
  <c r="R57" i="54"/>
  <c r="Q57" i="54"/>
  <c r="N57" i="54"/>
  <c r="M57" i="54"/>
  <c r="L57" i="54"/>
  <c r="K57" i="54"/>
  <c r="J57" i="54"/>
  <c r="I57" i="54"/>
  <c r="H57" i="54"/>
  <c r="G57" i="54"/>
  <c r="F57" i="54"/>
  <c r="E57" i="54"/>
  <c r="AL53" i="54"/>
  <c r="AK53" i="54"/>
  <c r="AJ53" i="54"/>
  <c r="AI53" i="54"/>
  <c r="AH53" i="54"/>
  <c r="AG53" i="54"/>
  <c r="AF53" i="54"/>
  <c r="AE53" i="54"/>
  <c r="AD53" i="54"/>
  <c r="AC53" i="54"/>
  <c r="Z53" i="54"/>
  <c r="Y53" i="54"/>
  <c r="X53" i="54"/>
  <c r="W53" i="54"/>
  <c r="V53" i="54"/>
  <c r="U53" i="54"/>
  <c r="T53" i="54"/>
  <c r="S53" i="54"/>
  <c r="R53" i="54"/>
  <c r="Q53" i="54"/>
  <c r="N53" i="54"/>
  <c r="M53" i="54"/>
  <c r="L53" i="54"/>
  <c r="K53" i="54"/>
  <c r="J53" i="54"/>
  <c r="I53" i="54"/>
  <c r="H53" i="54"/>
  <c r="G53" i="54"/>
  <c r="F53" i="54"/>
  <c r="E53" i="54"/>
  <c r="AL49" i="54"/>
  <c r="AK49" i="54"/>
  <c r="AJ49" i="54"/>
  <c r="AI49" i="54"/>
  <c r="AH49" i="54"/>
  <c r="AG49" i="54"/>
  <c r="AE49" i="54"/>
  <c r="AF49" i="54"/>
  <c r="AD49" i="54"/>
  <c r="AC49" i="54"/>
  <c r="Z49" i="54"/>
  <c r="Y49" i="54"/>
  <c r="X49" i="54"/>
  <c r="W49" i="54"/>
  <c r="V49" i="54"/>
  <c r="U49" i="54"/>
  <c r="T49" i="54"/>
  <c r="S49" i="54"/>
  <c r="R49" i="54"/>
  <c r="Q49" i="54"/>
  <c r="N49" i="54"/>
  <c r="M49" i="54"/>
  <c r="L49" i="54"/>
  <c r="K49" i="54"/>
  <c r="J49" i="54"/>
  <c r="I49" i="54"/>
  <c r="H49" i="54"/>
  <c r="G49" i="54"/>
  <c r="F49" i="54"/>
  <c r="E49" i="54"/>
  <c r="AL36" i="54"/>
  <c r="AL28" i="54" s="1"/>
  <c r="AK36" i="54"/>
  <c r="AJ36" i="54"/>
  <c r="AI36" i="54"/>
  <c r="AI28" i="54" s="1"/>
  <c r="AH36" i="54"/>
  <c r="AH28" i="54" s="1"/>
  <c r="AG36" i="54"/>
  <c r="AF36" i="54"/>
  <c r="AE36" i="54"/>
  <c r="AD36" i="54"/>
  <c r="AD28" i="54" s="1"/>
  <c r="AC36" i="54"/>
  <c r="Z36" i="54"/>
  <c r="Y36" i="54"/>
  <c r="Y28" i="54" s="1"/>
  <c r="X36" i="54"/>
  <c r="X28" i="54" s="1"/>
  <c r="W36" i="54"/>
  <c r="V36" i="54"/>
  <c r="U36" i="54"/>
  <c r="U28" i="54" s="1"/>
  <c r="T36" i="54"/>
  <c r="T28" i="54" s="1"/>
  <c r="S36" i="54"/>
  <c r="R36" i="54"/>
  <c r="Q36" i="54"/>
  <c r="Q28" i="54" s="1"/>
  <c r="N36" i="54"/>
  <c r="N28" i="54" s="1"/>
  <c r="M36" i="54"/>
  <c r="L36" i="54"/>
  <c r="K36" i="54"/>
  <c r="K28" i="54" s="1"/>
  <c r="J36" i="54"/>
  <c r="J28" i="54" s="1"/>
  <c r="I36" i="54"/>
  <c r="H36" i="54"/>
  <c r="G36" i="54"/>
  <c r="G28" i="54" s="1"/>
  <c r="F36" i="54"/>
  <c r="F28" i="54" s="1"/>
  <c r="E36" i="54"/>
  <c r="AK24" i="54"/>
  <c r="AL24" i="54"/>
  <c r="AJ24" i="54"/>
  <c r="AI24" i="54"/>
  <c r="AH24" i="54"/>
  <c r="AG24" i="54"/>
  <c r="AF24" i="54"/>
  <c r="AE24" i="54"/>
  <c r="AD24" i="54"/>
  <c r="AC24" i="54"/>
  <c r="Z24" i="54"/>
  <c r="Y24" i="54"/>
  <c r="X24" i="54"/>
  <c r="W24" i="54"/>
  <c r="V24" i="54"/>
  <c r="U24" i="54"/>
  <c r="T24" i="54"/>
  <c r="S24" i="54"/>
  <c r="R24" i="54"/>
  <c r="Q24" i="54"/>
  <c r="N24" i="54"/>
  <c r="M24" i="54"/>
  <c r="L24" i="54"/>
  <c r="K24" i="54"/>
  <c r="J24" i="54"/>
  <c r="I24" i="54"/>
  <c r="H24" i="54"/>
  <c r="G24" i="54"/>
  <c r="F24" i="54"/>
  <c r="E24" i="54"/>
  <c r="C24" i="54"/>
  <c r="AL18" i="54"/>
  <c r="AK18" i="54"/>
  <c r="AJ18" i="54"/>
  <c r="AI18" i="54"/>
  <c r="AH18" i="54"/>
  <c r="AG18" i="54"/>
  <c r="AF18" i="54"/>
  <c r="AE18" i="54"/>
  <c r="AD18" i="54"/>
  <c r="AC18" i="54"/>
  <c r="Z18" i="54"/>
  <c r="Y18" i="54"/>
  <c r="X18" i="54"/>
  <c r="W18" i="54"/>
  <c r="V18" i="54"/>
  <c r="U18" i="54"/>
  <c r="T18" i="54"/>
  <c r="S18" i="54"/>
  <c r="O18" i="54"/>
  <c r="P18" i="54"/>
  <c r="R18" i="54"/>
  <c r="Q18" i="54"/>
  <c r="N18" i="54"/>
  <c r="M18" i="54"/>
  <c r="L18" i="54"/>
  <c r="K18" i="54"/>
  <c r="J18" i="54"/>
  <c r="I18" i="54"/>
  <c r="H18" i="54"/>
  <c r="G18" i="54"/>
  <c r="F18" i="54"/>
  <c r="E18" i="54"/>
  <c r="E12" i="54"/>
  <c r="O20" i="41"/>
  <c r="N20" i="41"/>
  <c r="P20" i="41"/>
  <c r="Q20" i="41"/>
  <c r="R20" i="41"/>
  <c r="S20" i="41"/>
  <c r="S278" i="50"/>
  <c r="S277" i="50"/>
  <c r="S276" i="50"/>
  <c r="S275" i="50"/>
  <c r="S274" i="50"/>
  <c r="S273" i="50"/>
  <c r="S272" i="50"/>
  <c r="S271" i="50"/>
  <c r="S270" i="50"/>
  <c r="S269" i="50"/>
  <c r="S268" i="50"/>
  <c r="S267" i="50"/>
  <c r="S266" i="50"/>
  <c r="S265" i="50"/>
  <c r="S264" i="50"/>
  <c r="S263" i="50"/>
  <c r="S262" i="50"/>
  <c r="S261" i="50"/>
  <c r="S260" i="50"/>
  <c r="S259" i="50"/>
  <c r="S258" i="50"/>
  <c r="L278" i="50"/>
  <c r="L277" i="50"/>
  <c r="L276" i="50"/>
  <c r="L275" i="50"/>
  <c r="L274" i="50"/>
  <c r="L273" i="50"/>
  <c r="L272" i="50"/>
  <c r="L271" i="50"/>
  <c r="L270" i="50"/>
  <c r="L269" i="50"/>
  <c r="L268" i="50"/>
  <c r="L267" i="50"/>
  <c r="L266" i="50"/>
  <c r="L265" i="50"/>
  <c r="L264" i="50"/>
  <c r="L263" i="50"/>
  <c r="L262" i="50"/>
  <c r="L261" i="50"/>
  <c r="L260" i="50"/>
  <c r="L259" i="50"/>
  <c r="L258" i="50"/>
  <c r="E260" i="50"/>
  <c r="E261" i="50"/>
  <c r="E262" i="50"/>
  <c r="E263" i="50"/>
  <c r="E264" i="50"/>
  <c r="E265" i="50"/>
  <c r="E266" i="50"/>
  <c r="E267" i="50"/>
  <c r="E268" i="50"/>
  <c r="E269" i="50"/>
  <c r="E270" i="50"/>
  <c r="E271" i="50"/>
  <c r="E272" i="50"/>
  <c r="E273" i="50"/>
  <c r="E274" i="50"/>
  <c r="E275" i="50"/>
  <c r="E276" i="50"/>
  <c r="E277" i="50"/>
  <c r="E278" i="50"/>
  <c r="E258" i="50"/>
  <c r="E259" i="50"/>
  <c r="S189" i="50"/>
  <c r="S188" i="50"/>
  <c r="S187" i="50"/>
  <c r="S186" i="50"/>
  <c r="S185" i="50"/>
  <c r="S184" i="50"/>
  <c r="S183" i="50"/>
  <c r="S182" i="50"/>
  <c r="S181" i="50"/>
  <c r="S180" i="50"/>
  <c r="S179" i="50"/>
  <c r="S178" i="50"/>
  <c r="S177" i="50"/>
  <c r="S176" i="50"/>
  <c r="S175" i="50"/>
  <c r="S174" i="50"/>
  <c r="S173" i="50"/>
  <c r="S172" i="50"/>
  <c r="S171" i="50"/>
  <c r="L189" i="50"/>
  <c r="L188" i="50"/>
  <c r="L187" i="50"/>
  <c r="L186" i="50"/>
  <c r="L185" i="50"/>
  <c r="L184" i="50"/>
  <c r="L183" i="50"/>
  <c r="L182" i="50"/>
  <c r="L181" i="50"/>
  <c r="L180" i="50"/>
  <c r="L179" i="50"/>
  <c r="L178" i="50"/>
  <c r="L177" i="50"/>
  <c r="L176" i="50"/>
  <c r="L175" i="50"/>
  <c r="L174" i="50"/>
  <c r="L173" i="50"/>
  <c r="L172" i="50"/>
  <c r="L171" i="50"/>
  <c r="E173" i="50"/>
  <c r="E174" i="50"/>
  <c r="E175" i="50"/>
  <c r="E176" i="50"/>
  <c r="E177" i="50"/>
  <c r="E178" i="50"/>
  <c r="E179" i="50"/>
  <c r="E180" i="50"/>
  <c r="E181" i="50"/>
  <c r="E182" i="50"/>
  <c r="E183" i="50"/>
  <c r="E184" i="50"/>
  <c r="E185" i="50"/>
  <c r="E186" i="50"/>
  <c r="E187" i="50"/>
  <c r="E188" i="50"/>
  <c r="E189" i="50"/>
  <c r="E172" i="50"/>
  <c r="E171" i="50"/>
  <c r="E85" i="50"/>
  <c r="AF28" i="54" l="1"/>
  <c r="AE28" i="54"/>
  <c r="H28" i="54"/>
  <c r="L28" i="54"/>
  <c r="R28" i="54"/>
  <c r="V28" i="54"/>
  <c r="Z28" i="54"/>
  <c r="AJ28" i="54"/>
  <c r="E28" i="54"/>
  <c r="I28" i="54"/>
  <c r="M28" i="54"/>
  <c r="S28" i="54"/>
  <c r="W28" i="54"/>
  <c r="AC28" i="54"/>
  <c r="AG28" i="54"/>
  <c r="AK28" i="54"/>
  <c r="AF60" i="62"/>
  <c r="E11" i="54"/>
  <c r="E84" i="54" l="1"/>
  <c r="B8" i="47"/>
  <c r="AB79" i="54" l="1"/>
  <c r="AB72" i="54" s="1"/>
  <c r="AA79" i="54"/>
  <c r="AA72" i="54" s="1"/>
  <c r="AB66" i="54"/>
  <c r="AA66" i="54"/>
  <c r="AB61" i="54"/>
  <c r="AA61" i="54"/>
  <c r="AB57" i="54"/>
  <c r="AA57" i="54"/>
  <c r="AB53" i="54"/>
  <c r="AA53" i="54"/>
  <c r="AB49" i="54"/>
  <c r="AA49" i="54"/>
  <c r="AB36" i="54"/>
  <c r="AB28" i="54" s="1"/>
  <c r="AA36" i="54"/>
  <c r="AA28" i="54" s="1"/>
  <c r="AB24" i="54"/>
  <c r="AA24" i="54"/>
  <c r="AB18" i="54"/>
  <c r="AA18" i="54"/>
  <c r="P79" i="54"/>
  <c r="P72" i="54" s="1"/>
  <c r="O79" i="54"/>
  <c r="O72" i="54" s="1"/>
  <c r="P66" i="54"/>
  <c r="O66" i="54"/>
  <c r="P61" i="54"/>
  <c r="O61" i="54"/>
  <c r="P57" i="54"/>
  <c r="O57" i="54"/>
  <c r="P53" i="54"/>
  <c r="O53" i="54"/>
  <c r="P49" i="54"/>
  <c r="O49" i="54"/>
  <c r="P36" i="54"/>
  <c r="O36" i="54"/>
  <c r="P24" i="54"/>
  <c r="O24" i="54"/>
  <c r="D79" i="54"/>
  <c r="D72" i="54" s="1"/>
  <c r="C79" i="54"/>
  <c r="C72" i="54" s="1"/>
  <c r="D66" i="54"/>
  <c r="C66" i="54"/>
  <c r="D61" i="54"/>
  <c r="C61" i="54"/>
  <c r="D57" i="54"/>
  <c r="C57" i="54"/>
  <c r="D53" i="54"/>
  <c r="C53" i="54"/>
  <c r="D49" i="54"/>
  <c r="C49" i="54"/>
  <c r="D36" i="54"/>
  <c r="D28" i="54" s="1"/>
  <c r="C36" i="54"/>
  <c r="C28" i="54" s="1"/>
  <c r="D24" i="54"/>
  <c r="D18" i="54"/>
  <c r="C18" i="54"/>
  <c r="S108" i="50"/>
  <c r="S107" i="50"/>
  <c r="S106" i="50"/>
  <c r="S105" i="50"/>
  <c r="S104" i="50"/>
  <c r="S103" i="50"/>
  <c r="S102" i="50"/>
  <c r="S101" i="50"/>
  <c r="S100" i="50"/>
  <c r="S99" i="50"/>
  <c r="S98" i="50"/>
  <c r="S97" i="50"/>
  <c r="S96" i="50"/>
  <c r="S95" i="50"/>
  <c r="S94" i="50"/>
  <c r="S92" i="50"/>
  <c r="S91" i="50"/>
  <c r="S90" i="50"/>
  <c r="S89" i="50"/>
  <c r="S88" i="50"/>
  <c r="S86" i="50"/>
  <c r="S85" i="50"/>
  <c r="E71" i="62"/>
  <c r="L108" i="50"/>
  <c r="L107" i="50"/>
  <c r="L106" i="50"/>
  <c r="L105" i="50"/>
  <c r="L104" i="50"/>
  <c r="L103" i="50"/>
  <c r="L102" i="50"/>
  <c r="L101" i="50"/>
  <c r="L100" i="50"/>
  <c r="L99" i="50"/>
  <c r="L98" i="50"/>
  <c r="L97" i="50"/>
  <c r="L96" i="50"/>
  <c r="L95" i="50"/>
  <c r="L94" i="50"/>
  <c r="L92" i="50"/>
  <c r="L91" i="50"/>
  <c r="L90" i="50"/>
  <c r="L89" i="50"/>
  <c r="L88" i="50"/>
  <c r="L86" i="50"/>
  <c r="L85" i="50"/>
  <c r="E108" i="50"/>
  <c r="E107" i="50"/>
  <c r="E106" i="50"/>
  <c r="E105" i="50"/>
  <c r="E104" i="50"/>
  <c r="E103" i="50"/>
  <c r="E102" i="50"/>
  <c r="E101" i="50"/>
  <c r="E100" i="50"/>
  <c r="E99" i="50"/>
  <c r="E98" i="50"/>
  <c r="E97" i="50"/>
  <c r="E96" i="50"/>
  <c r="E95" i="50"/>
  <c r="E94" i="50"/>
  <c r="E92" i="50"/>
  <c r="E91" i="50"/>
  <c r="E90" i="50"/>
  <c r="E89" i="50"/>
  <c r="E88" i="50"/>
  <c r="E86" i="50"/>
  <c r="O28" i="54" l="1"/>
  <c r="P28" i="54"/>
  <c r="S87" i="50"/>
  <c r="S93" i="50"/>
  <c r="L93" i="50"/>
  <c r="E93" i="50"/>
  <c r="L87" i="50"/>
  <c r="E87" i="50"/>
  <c r="E84" i="50" l="1"/>
  <c r="E43" i="50" l="1"/>
  <c r="E18" i="50"/>
  <c r="L18" i="50"/>
  <c r="S18" i="50"/>
  <c r="L43" i="50"/>
  <c r="S43" i="50"/>
  <c r="L9" i="50" l="1"/>
  <c r="E34" i="50"/>
  <c r="S9" i="50"/>
  <c r="E9" i="50"/>
  <c r="E130" i="50" l="1"/>
  <c r="E10" i="65" l="1"/>
  <c r="F10" i="65"/>
  <c r="G10" i="65"/>
  <c r="H10" i="65"/>
  <c r="I10" i="65"/>
  <c r="J10" i="65"/>
  <c r="D10" i="65"/>
  <c r="W54" i="39" l="1"/>
  <c r="V54" i="39"/>
  <c r="U54" i="39"/>
  <c r="T54" i="39"/>
  <c r="S54" i="39"/>
  <c r="R54" i="39"/>
  <c r="Q54" i="39"/>
  <c r="W53" i="39"/>
  <c r="V53" i="39"/>
  <c r="U53" i="39"/>
  <c r="T53" i="39"/>
  <c r="S53" i="39"/>
  <c r="R53" i="39"/>
  <c r="Q53" i="39"/>
  <c r="P12" i="39"/>
  <c r="O12" i="39"/>
  <c r="N12" i="39"/>
  <c r="M12" i="39"/>
  <c r="L12" i="39"/>
  <c r="K12" i="39"/>
  <c r="J12" i="39"/>
  <c r="S67" i="41"/>
  <c r="R67" i="41"/>
  <c r="Q67" i="41"/>
  <c r="P67" i="41"/>
  <c r="O67" i="41"/>
  <c r="N67" i="41"/>
  <c r="M67" i="41"/>
  <c r="S66" i="41"/>
  <c r="R66" i="41"/>
  <c r="Q66" i="41"/>
  <c r="P66" i="41"/>
  <c r="O66" i="41"/>
  <c r="N66" i="41"/>
  <c r="M66" i="41"/>
  <c r="S65" i="41"/>
  <c r="R65" i="41"/>
  <c r="Q65" i="41"/>
  <c r="P65" i="41"/>
  <c r="O65" i="41"/>
  <c r="N65" i="41"/>
  <c r="M65" i="41"/>
  <c r="S64" i="41"/>
  <c r="R64" i="41"/>
  <c r="Q64" i="41"/>
  <c r="P64" i="41"/>
  <c r="O64" i="41"/>
  <c r="N64" i="41"/>
  <c r="M64" i="41"/>
  <c r="S63" i="41"/>
  <c r="R63" i="41"/>
  <c r="Q63" i="41"/>
  <c r="P63" i="41"/>
  <c r="O63" i="41"/>
  <c r="N63" i="41"/>
  <c r="M63" i="41"/>
  <c r="S62" i="41"/>
  <c r="R62" i="41"/>
  <c r="Q62" i="41"/>
  <c r="P62" i="41"/>
  <c r="O62" i="41"/>
  <c r="N62" i="41"/>
  <c r="M62" i="41"/>
  <c r="S61" i="41"/>
  <c r="R61" i="41"/>
  <c r="Q61" i="41"/>
  <c r="P61" i="41"/>
  <c r="O61" i="41"/>
  <c r="N61" i="41"/>
  <c r="M61" i="41"/>
  <c r="S60" i="41"/>
  <c r="R60" i="41"/>
  <c r="Q60" i="41"/>
  <c r="P60" i="41"/>
  <c r="O60" i="41"/>
  <c r="N60" i="41"/>
  <c r="M60" i="41"/>
  <c r="S58" i="41"/>
  <c r="R58" i="41"/>
  <c r="Q58" i="41"/>
  <c r="P58" i="41"/>
  <c r="O58" i="41"/>
  <c r="N58" i="41"/>
  <c r="M58" i="41"/>
  <c r="S57" i="41"/>
  <c r="R57" i="41"/>
  <c r="Q57" i="41"/>
  <c r="P57" i="41"/>
  <c r="O57" i="41"/>
  <c r="N57" i="41"/>
  <c r="M57" i="41"/>
  <c r="S55" i="41"/>
  <c r="R55" i="41"/>
  <c r="Q55" i="41"/>
  <c r="P55" i="41"/>
  <c r="O55" i="41"/>
  <c r="N55" i="41"/>
  <c r="M55" i="41"/>
  <c r="S54" i="41"/>
  <c r="R54" i="41"/>
  <c r="Q54" i="41"/>
  <c r="P54" i="41"/>
  <c r="O54" i="41"/>
  <c r="N54" i="41"/>
  <c r="M54" i="41"/>
  <c r="S53" i="41"/>
  <c r="R53" i="41"/>
  <c r="Q53" i="41"/>
  <c r="P53" i="41"/>
  <c r="O53" i="41"/>
  <c r="N53" i="41"/>
  <c r="M53" i="41"/>
  <c r="S52" i="41"/>
  <c r="R52" i="41"/>
  <c r="Q52" i="41"/>
  <c r="P52" i="41"/>
  <c r="O52" i="41"/>
  <c r="N52" i="41"/>
  <c r="M52" i="41"/>
  <c r="S51" i="41"/>
  <c r="R51" i="41"/>
  <c r="Q51" i="41"/>
  <c r="P51" i="41"/>
  <c r="O51" i="41"/>
  <c r="N51" i="41"/>
  <c r="M51" i="41"/>
  <c r="S50" i="41"/>
  <c r="R50" i="41"/>
  <c r="Q50" i="41"/>
  <c r="P50" i="41"/>
  <c r="O50" i="41"/>
  <c r="N50" i="41"/>
  <c r="M50" i="41"/>
  <c r="S49" i="41"/>
  <c r="R49" i="41"/>
  <c r="Q49" i="41"/>
  <c r="P49" i="41"/>
  <c r="O49" i="41"/>
  <c r="N49" i="41"/>
  <c r="M49" i="41"/>
  <c r="S48" i="41"/>
  <c r="R48" i="41"/>
  <c r="Q48" i="41"/>
  <c r="P48" i="41"/>
  <c r="O48" i="41"/>
  <c r="N48" i="41"/>
  <c r="M48" i="41"/>
  <c r="S46" i="41"/>
  <c r="R46" i="41"/>
  <c r="Q46" i="41"/>
  <c r="P46" i="41"/>
  <c r="O46" i="41"/>
  <c r="N46" i="41"/>
  <c r="M46" i="41"/>
  <c r="S45" i="41"/>
  <c r="R45" i="41"/>
  <c r="Q45" i="41"/>
  <c r="P45" i="41"/>
  <c r="O45" i="41"/>
  <c r="N45" i="41"/>
  <c r="M45" i="41"/>
  <c r="S44" i="41"/>
  <c r="R44" i="41"/>
  <c r="Q44" i="41"/>
  <c r="P44" i="41"/>
  <c r="O44" i="41"/>
  <c r="N44" i="41"/>
  <c r="M44" i="41"/>
  <c r="S43" i="41"/>
  <c r="R43" i="41"/>
  <c r="Q43" i="41"/>
  <c r="P43" i="41"/>
  <c r="O43" i="41"/>
  <c r="N43" i="41"/>
  <c r="M43" i="41"/>
  <c r="S42" i="41"/>
  <c r="R42" i="41"/>
  <c r="Q42" i="41"/>
  <c r="P42" i="41"/>
  <c r="O42" i="41"/>
  <c r="N42" i="41"/>
  <c r="M42" i="41"/>
  <c r="S41" i="41"/>
  <c r="R41" i="41"/>
  <c r="Q41" i="41"/>
  <c r="P41" i="41"/>
  <c r="O41" i="41"/>
  <c r="N41" i="41"/>
  <c r="M41" i="41"/>
  <c r="S40" i="41"/>
  <c r="R40" i="41"/>
  <c r="Q40" i="41"/>
  <c r="P40" i="41"/>
  <c r="O40" i="41"/>
  <c r="N40" i="41"/>
  <c r="M40" i="41"/>
  <c r="S39" i="41"/>
  <c r="R39" i="41"/>
  <c r="Q39" i="41"/>
  <c r="P39" i="41"/>
  <c r="O39" i="41"/>
  <c r="N39" i="41"/>
  <c r="M39" i="41"/>
  <c r="S38" i="41"/>
  <c r="R38" i="41"/>
  <c r="Q38" i="41"/>
  <c r="P38" i="41"/>
  <c r="O38" i="41"/>
  <c r="N38" i="41"/>
  <c r="M38" i="41"/>
  <c r="S37" i="41"/>
  <c r="R37" i="41"/>
  <c r="Q37" i="41"/>
  <c r="P37" i="41"/>
  <c r="O37" i="41"/>
  <c r="N37" i="41"/>
  <c r="M37" i="41"/>
  <c r="S36" i="41"/>
  <c r="R36" i="41"/>
  <c r="Q36" i="41"/>
  <c r="P36" i="41"/>
  <c r="O36" i="41"/>
  <c r="N36" i="41"/>
  <c r="M36" i="41"/>
  <c r="S34" i="41"/>
  <c r="R34" i="41"/>
  <c r="Q34" i="41"/>
  <c r="P34" i="41"/>
  <c r="O34" i="41"/>
  <c r="N34" i="41"/>
  <c r="M34" i="41"/>
  <c r="S33" i="41"/>
  <c r="R33" i="41"/>
  <c r="Q33" i="41"/>
  <c r="P33" i="41"/>
  <c r="O33" i="41"/>
  <c r="N33" i="41"/>
  <c r="M33" i="41"/>
  <c r="S32" i="41"/>
  <c r="R32" i="41"/>
  <c r="Q32" i="41"/>
  <c r="P32" i="41"/>
  <c r="O32" i="41"/>
  <c r="N32" i="41"/>
  <c r="M32" i="41"/>
  <c r="S31" i="41"/>
  <c r="R31" i="41"/>
  <c r="Q31" i="41"/>
  <c r="P31" i="41"/>
  <c r="O31" i="41"/>
  <c r="N31" i="41"/>
  <c r="M31" i="41"/>
  <c r="S30" i="41"/>
  <c r="R30" i="41"/>
  <c r="Q30" i="41"/>
  <c r="P30" i="41"/>
  <c r="O30" i="41"/>
  <c r="N30" i="41"/>
  <c r="M30" i="41"/>
  <c r="S29" i="41"/>
  <c r="R29" i="41"/>
  <c r="Q29" i="41"/>
  <c r="P29" i="41"/>
  <c r="O29" i="41"/>
  <c r="N29" i="41"/>
  <c r="M29" i="41"/>
  <c r="S28" i="41"/>
  <c r="R28" i="41"/>
  <c r="Q28" i="41"/>
  <c r="P28" i="41"/>
  <c r="O28" i="41"/>
  <c r="N28" i="41"/>
  <c r="M28" i="41"/>
  <c r="S27" i="41"/>
  <c r="R27" i="41"/>
  <c r="Q27" i="41"/>
  <c r="P27" i="41"/>
  <c r="O27" i="41"/>
  <c r="N27" i="41"/>
  <c r="M27" i="41"/>
  <c r="S26" i="41"/>
  <c r="R26" i="41"/>
  <c r="Q26" i="41"/>
  <c r="P26" i="41"/>
  <c r="O26" i="41"/>
  <c r="N26" i="41"/>
  <c r="M26" i="41"/>
  <c r="S25" i="41"/>
  <c r="R25" i="41"/>
  <c r="Q25" i="41"/>
  <c r="P25" i="41"/>
  <c r="O25" i="41"/>
  <c r="N25" i="41"/>
  <c r="M25" i="41"/>
  <c r="S24" i="41"/>
  <c r="R24" i="41"/>
  <c r="Q24" i="41"/>
  <c r="P24" i="41"/>
  <c r="O24" i="41"/>
  <c r="N24" i="41"/>
  <c r="M24" i="41"/>
  <c r="S23" i="41"/>
  <c r="R23" i="41"/>
  <c r="Q23" i="41"/>
  <c r="P23" i="41"/>
  <c r="O23" i="41"/>
  <c r="N23" i="41"/>
  <c r="M23" i="41"/>
  <c r="S22" i="41"/>
  <c r="R22" i="41"/>
  <c r="Q22" i="41"/>
  <c r="P22" i="41"/>
  <c r="O22" i="41"/>
  <c r="N22" i="41"/>
  <c r="M22" i="41"/>
  <c r="S21" i="41"/>
  <c r="R21" i="41"/>
  <c r="Q21" i="41"/>
  <c r="P21" i="41"/>
  <c r="O21" i="41"/>
  <c r="N21" i="41"/>
  <c r="M21" i="41"/>
  <c r="M20" i="41"/>
  <c r="S19" i="41"/>
  <c r="R19" i="41"/>
  <c r="Q19" i="41"/>
  <c r="P19" i="41"/>
  <c r="O19" i="41"/>
  <c r="N19" i="41"/>
  <c r="M19" i="41"/>
  <c r="S18" i="41"/>
  <c r="R18" i="41"/>
  <c r="Q18" i="41"/>
  <c r="P18" i="41"/>
  <c r="O18" i="41"/>
  <c r="N18" i="41"/>
  <c r="M18" i="41"/>
  <c r="S17" i="41"/>
  <c r="R17" i="41"/>
  <c r="Q17" i="41"/>
  <c r="P17" i="41"/>
  <c r="O17" i="41"/>
  <c r="N17" i="41"/>
  <c r="M17" i="41"/>
  <c r="S16" i="41"/>
  <c r="R16" i="41"/>
  <c r="Q16" i="41"/>
  <c r="P16" i="41"/>
  <c r="O16" i="41"/>
  <c r="N16" i="41"/>
  <c r="M16" i="41"/>
  <c r="S15" i="41"/>
  <c r="R15" i="41"/>
  <c r="Q15" i="41"/>
  <c r="P15" i="41"/>
  <c r="O15" i="41"/>
  <c r="N15" i="41"/>
  <c r="M15" i="41"/>
  <c r="S14" i="41"/>
  <c r="R14" i="41"/>
  <c r="Q14" i="41"/>
  <c r="P14" i="41"/>
  <c r="O14" i="41"/>
  <c r="N14" i="41"/>
  <c r="M14" i="41"/>
  <c r="S13" i="41"/>
  <c r="R13" i="41"/>
  <c r="Q13" i="41"/>
  <c r="P13" i="41"/>
  <c r="O13" i="41"/>
  <c r="N13" i="41"/>
  <c r="M13" i="41"/>
  <c r="S12" i="41"/>
  <c r="R12" i="41"/>
  <c r="Q12" i="41"/>
  <c r="P12" i="41"/>
  <c r="O12" i="41"/>
  <c r="N12" i="41"/>
  <c r="M12" i="41"/>
  <c r="S11" i="41"/>
  <c r="R11" i="41"/>
  <c r="Q11" i="41"/>
  <c r="P11" i="41"/>
  <c r="O11" i="41"/>
  <c r="N11" i="41"/>
  <c r="M11" i="41"/>
  <c r="F25" i="2" l="1"/>
  <c r="G25" i="2"/>
  <c r="H25" i="2"/>
  <c r="I25" i="2"/>
  <c r="J25" i="2"/>
  <c r="K25" i="2"/>
  <c r="E25" i="2"/>
  <c r="F216" i="50" l="1"/>
  <c r="F238" i="50" s="1"/>
  <c r="M216" i="50"/>
  <c r="M238" i="50" s="1"/>
  <c r="M217" i="50"/>
  <c r="M239" i="50" s="1"/>
  <c r="T217" i="50"/>
  <c r="T239" i="50" s="1"/>
  <c r="F222" i="50"/>
  <c r="F244" i="50" s="1"/>
  <c r="M222" i="50"/>
  <c r="M244" i="50" s="1"/>
  <c r="F217" i="50" l="1"/>
  <c r="F239" i="50" s="1"/>
  <c r="F261" i="50" s="1"/>
  <c r="T216" i="50"/>
  <c r="T238" i="50" s="1"/>
  <c r="T260" i="50" s="1"/>
  <c r="W222" i="50"/>
  <c r="R222" i="50"/>
  <c r="U217" i="50"/>
  <c r="U239" i="50" s="1"/>
  <c r="U261" i="50" s="1"/>
  <c r="G217" i="50"/>
  <c r="N216" i="50"/>
  <c r="N238" i="50" s="1"/>
  <c r="N260" i="50" s="1"/>
  <c r="N217" i="50"/>
  <c r="N239" i="50" s="1"/>
  <c r="N261" i="50" s="1"/>
  <c r="Y216" i="50"/>
  <c r="W216" i="50"/>
  <c r="G216" i="50"/>
  <c r="G238" i="50" s="1"/>
  <c r="P222" i="50"/>
  <c r="Q222" i="50"/>
  <c r="N222" i="50"/>
  <c r="N244" i="50" s="1"/>
  <c r="N266" i="50" s="1"/>
  <c r="T222" i="50"/>
  <c r="T244" i="50" s="1"/>
  <c r="T266" i="50" s="1"/>
  <c r="U222" i="50"/>
  <c r="Y222" i="50"/>
  <c r="F260" i="50"/>
  <c r="M260" i="50"/>
  <c r="U216" i="50"/>
  <c r="U238" i="50" s="1"/>
  <c r="T261" i="50"/>
  <c r="M261" i="50"/>
  <c r="V216" i="50"/>
  <c r="F266" i="50"/>
  <c r="V222" i="50"/>
  <c r="M266" i="50"/>
  <c r="O222" i="50"/>
  <c r="G239" i="50" l="1"/>
  <c r="G261" i="50" s="1"/>
  <c r="X216" i="50"/>
  <c r="X222" i="50"/>
  <c r="V217" i="50"/>
  <c r="V239" i="50" s="1"/>
  <c r="V261" i="50" s="1"/>
  <c r="G222" i="50"/>
  <c r="G244" i="50" s="1"/>
  <c r="G266" i="50" s="1"/>
  <c r="H216" i="50"/>
  <c r="H238" i="50" s="1"/>
  <c r="O217" i="50"/>
  <c r="O239" i="50" s="1"/>
  <c r="O216" i="50"/>
  <c r="O238" i="50" s="1"/>
  <c r="O260" i="50" s="1"/>
  <c r="H217" i="50"/>
  <c r="H239" i="50" s="1"/>
  <c r="W217" i="50"/>
  <c r="G260" i="50"/>
  <c r="U244" i="50"/>
  <c r="U266" i="50" s="1"/>
  <c r="U260" i="50"/>
  <c r="V238" i="50"/>
  <c r="V260" i="50" s="1"/>
  <c r="O244" i="50"/>
  <c r="O266" i="50" s="1"/>
  <c r="E15" i="21"/>
  <c r="E13" i="21" s="1"/>
  <c r="D15" i="21"/>
  <c r="D13" i="21" s="1"/>
  <c r="H222" i="50" l="1"/>
  <c r="H244" i="50" s="1"/>
  <c r="H266" i="50" s="1"/>
  <c r="V244" i="50"/>
  <c r="V266" i="50" s="1"/>
  <c r="W239" i="50"/>
  <c r="W261" i="50" s="1"/>
  <c r="O261" i="50"/>
  <c r="H261" i="50"/>
  <c r="H260" i="50"/>
  <c r="P216" i="50"/>
  <c r="P238" i="50" s="1"/>
  <c r="P260" i="50" s="1"/>
  <c r="P217" i="50"/>
  <c r="P239" i="50" s="1"/>
  <c r="Y217" i="50"/>
  <c r="X217" i="50"/>
  <c r="I217" i="50"/>
  <c r="I239" i="50" s="1"/>
  <c r="I216" i="50"/>
  <c r="I238" i="50" s="1"/>
  <c r="W238" i="50"/>
  <c r="X238" i="50" s="1"/>
  <c r="P244" i="50"/>
  <c r="Q244" i="50" s="1"/>
  <c r="W244" i="50" l="1"/>
  <c r="X239" i="50"/>
  <c r="Y239" i="50" s="1"/>
  <c r="Y261" i="50" s="1"/>
  <c r="I222" i="50"/>
  <c r="I244" i="50" s="1"/>
  <c r="P266" i="50"/>
  <c r="W260" i="50"/>
  <c r="I260" i="50"/>
  <c r="I261" i="50"/>
  <c r="P261" i="50"/>
  <c r="K216" i="50"/>
  <c r="J216" i="50"/>
  <c r="J238" i="50" s="1"/>
  <c r="K217" i="50"/>
  <c r="J217" i="50"/>
  <c r="J239" i="50" s="1"/>
  <c r="Q217" i="50"/>
  <c r="Q239" i="50" s="1"/>
  <c r="R217" i="50"/>
  <c r="Q216" i="50"/>
  <c r="Q238" i="50" s="1"/>
  <c r="R216" i="50"/>
  <c r="X260" i="50"/>
  <c r="Y238" i="50"/>
  <c r="Y260" i="50" s="1"/>
  <c r="Q266" i="50"/>
  <c r="R244" i="50"/>
  <c r="R266" i="50" s="1"/>
  <c r="B33" i="48"/>
  <c r="B20" i="48"/>
  <c r="C21" i="60"/>
  <c r="AF30" i="60"/>
  <c r="AE31" i="60"/>
  <c r="AS24" i="60"/>
  <c r="AY28" i="60"/>
  <c r="AX28" i="60"/>
  <c r="AW28" i="60"/>
  <c r="AV28" i="60"/>
  <c r="AU28" i="60"/>
  <c r="AT28" i="60"/>
  <c r="AS28" i="60"/>
  <c r="AY27" i="60"/>
  <c r="AX27" i="60"/>
  <c r="AW27" i="60"/>
  <c r="AV27" i="60"/>
  <c r="AU27" i="60"/>
  <c r="AT27" i="60"/>
  <c r="AS27" i="60"/>
  <c r="AY26" i="60"/>
  <c r="AX26" i="60"/>
  <c r="AW26" i="60"/>
  <c r="AV26" i="60"/>
  <c r="AU26" i="60"/>
  <c r="AT26" i="60"/>
  <c r="AS26" i="60"/>
  <c r="AY25" i="60"/>
  <c r="AX25" i="60"/>
  <c r="AW25" i="60"/>
  <c r="AV25" i="60"/>
  <c r="AU25" i="60"/>
  <c r="AT25" i="60"/>
  <c r="AS25" i="60"/>
  <c r="AY24" i="60"/>
  <c r="AX24" i="60"/>
  <c r="AW24" i="60"/>
  <c r="AV24" i="60"/>
  <c r="AU24" i="60"/>
  <c r="AT24" i="60"/>
  <c r="AY23" i="60"/>
  <c r="AX23" i="60"/>
  <c r="AW23" i="60"/>
  <c r="AV23" i="60"/>
  <c r="AU23" i="60"/>
  <c r="AT23" i="60"/>
  <c r="AS23" i="60"/>
  <c r="AY22" i="60"/>
  <c r="AX22" i="60"/>
  <c r="AW22" i="60"/>
  <c r="AV22" i="60"/>
  <c r="AU22" i="60"/>
  <c r="AT22" i="60"/>
  <c r="AS22" i="60"/>
  <c r="AY20" i="60"/>
  <c r="AX20" i="60"/>
  <c r="AW20" i="60"/>
  <c r="AV20" i="60"/>
  <c r="AU20" i="60"/>
  <c r="AT20" i="60"/>
  <c r="AS20" i="60"/>
  <c r="AY19" i="60"/>
  <c r="AX19" i="60"/>
  <c r="AW19" i="60"/>
  <c r="AV19" i="60"/>
  <c r="AU19" i="60"/>
  <c r="AT19" i="60"/>
  <c r="AS19" i="60"/>
  <c r="AY18" i="60"/>
  <c r="AX18" i="60"/>
  <c r="AW18" i="60"/>
  <c r="AV18" i="60"/>
  <c r="AU18" i="60"/>
  <c r="AT18" i="60"/>
  <c r="AS18" i="60"/>
  <c r="AS12" i="60"/>
  <c r="AT12" i="60"/>
  <c r="AU12" i="60"/>
  <c r="AV12" i="60"/>
  <c r="AW12" i="60"/>
  <c r="AX12" i="60"/>
  <c r="AY12" i="60"/>
  <c r="AS13" i="60"/>
  <c r="AT13" i="60"/>
  <c r="AU13" i="60"/>
  <c r="AV13" i="60"/>
  <c r="AW13" i="60"/>
  <c r="AX13" i="60"/>
  <c r="AY13" i="60"/>
  <c r="AT11" i="60"/>
  <c r="AU11" i="60"/>
  <c r="AV11" i="60"/>
  <c r="AW11" i="60"/>
  <c r="AX11" i="60"/>
  <c r="AY11" i="60"/>
  <c r="AS11" i="60"/>
  <c r="AR21" i="60"/>
  <c r="AQ21" i="60"/>
  <c r="AP21" i="60"/>
  <c r="AO21" i="60"/>
  <c r="AN21" i="60"/>
  <c r="AM21" i="60"/>
  <c r="AL21" i="60"/>
  <c r="AR31" i="60"/>
  <c r="AQ31" i="60"/>
  <c r="AP31" i="60"/>
  <c r="AO31" i="60"/>
  <c r="AN31" i="60"/>
  <c r="AM31" i="60"/>
  <c r="AL31" i="60"/>
  <c r="AR30" i="60"/>
  <c r="AQ30" i="60"/>
  <c r="AP30" i="60"/>
  <c r="AO30" i="60"/>
  <c r="AN30" i="60"/>
  <c r="AM30" i="60"/>
  <c r="AL30" i="60"/>
  <c r="AR29" i="60"/>
  <c r="AQ29" i="60"/>
  <c r="AP29" i="60"/>
  <c r="AO29" i="60"/>
  <c r="AN29" i="60"/>
  <c r="AM29" i="60"/>
  <c r="AL29" i="60"/>
  <c r="AR14" i="60"/>
  <c r="AQ14" i="60"/>
  <c r="AP14" i="60"/>
  <c r="AO14" i="60"/>
  <c r="AN14" i="60"/>
  <c r="AM14" i="60"/>
  <c r="AL14" i="60"/>
  <c r="AK21" i="60"/>
  <c r="AJ21" i="60"/>
  <c r="AI21" i="60"/>
  <c r="AH21" i="60"/>
  <c r="AG21" i="60"/>
  <c r="AF21" i="60"/>
  <c r="AE21" i="60"/>
  <c r="AK31" i="60"/>
  <c r="AJ31" i="60"/>
  <c r="AI31" i="60"/>
  <c r="AH31" i="60"/>
  <c r="AG31" i="60"/>
  <c r="AF31" i="60"/>
  <c r="AK30" i="60"/>
  <c r="AJ30" i="60"/>
  <c r="AI30" i="60"/>
  <c r="AH30" i="60"/>
  <c r="AG30" i="60"/>
  <c r="AE30" i="60"/>
  <c r="AK29" i="60"/>
  <c r="AJ29" i="60"/>
  <c r="AI29" i="60"/>
  <c r="AH29" i="60"/>
  <c r="AG29" i="60"/>
  <c r="AF29" i="60"/>
  <c r="AE29" i="60"/>
  <c r="AK14" i="60"/>
  <c r="AJ14" i="60"/>
  <c r="AI14" i="60"/>
  <c r="AH14" i="60"/>
  <c r="AG14" i="60"/>
  <c r="AF14" i="60"/>
  <c r="AE14" i="60"/>
  <c r="D23" i="46"/>
  <c r="C31" i="48"/>
  <c r="D31" i="48"/>
  <c r="E31" i="48"/>
  <c r="F31" i="48"/>
  <c r="G31" i="48"/>
  <c r="H31" i="48"/>
  <c r="C32" i="48"/>
  <c r="D32" i="48"/>
  <c r="E32" i="48"/>
  <c r="F32" i="48"/>
  <c r="G32" i="48"/>
  <c r="H32" i="48"/>
  <c r="C8" i="48"/>
  <c r="B8" i="48"/>
  <c r="B17" i="47"/>
  <c r="K23" i="46"/>
  <c r="AS21" i="60" l="1"/>
  <c r="X261" i="50"/>
  <c r="R238" i="50"/>
  <c r="R260" i="50" s="1"/>
  <c r="X244" i="50"/>
  <c r="W266" i="50"/>
  <c r="AH32" i="60"/>
  <c r="I266" i="50"/>
  <c r="Q260" i="50"/>
  <c r="K222" i="50"/>
  <c r="J222" i="50"/>
  <c r="J244" i="50" s="1"/>
  <c r="AO32" i="60"/>
  <c r="AG32" i="60"/>
  <c r="AK32" i="60"/>
  <c r="AN32" i="60"/>
  <c r="AR32" i="60"/>
  <c r="R239" i="50"/>
  <c r="R261" i="50" s="1"/>
  <c r="Q261" i="50"/>
  <c r="K239" i="50"/>
  <c r="K261" i="50" s="1"/>
  <c r="J261" i="50"/>
  <c r="K238" i="50"/>
  <c r="K260" i="50" s="1"/>
  <c r="J260" i="50"/>
  <c r="AE32" i="60"/>
  <c r="AI32" i="60"/>
  <c r="AL32" i="60"/>
  <c r="AP32" i="60"/>
  <c r="AF32" i="60"/>
  <c r="AJ32" i="60"/>
  <c r="AM32" i="60"/>
  <c r="AQ32" i="60"/>
  <c r="AM35" i="60"/>
  <c r="AM33" i="60"/>
  <c r="AO35" i="60"/>
  <c r="AO33" i="60"/>
  <c r="AQ35" i="60"/>
  <c r="AQ33" i="60"/>
  <c r="AL36" i="60"/>
  <c r="AL34" i="60"/>
  <c r="AN36" i="60"/>
  <c r="AN34" i="60"/>
  <c r="AP36" i="60"/>
  <c r="AP34" i="60"/>
  <c r="AR36" i="60"/>
  <c r="AR34" i="60"/>
  <c r="AL35" i="60"/>
  <c r="AL33" i="60"/>
  <c r="AN35" i="60"/>
  <c r="AN33" i="60"/>
  <c r="AP35" i="60"/>
  <c r="AP33" i="60"/>
  <c r="AR35" i="60"/>
  <c r="AR33" i="60"/>
  <c r="AM36" i="60"/>
  <c r="AM34" i="60"/>
  <c r="AO36" i="60"/>
  <c r="AO34" i="60"/>
  <c r="AQ36" i="60"/>
  <c r="AQ34" i="60"/>
  <c r="AF35" i="60"/>
  <c r="AF33" i="60"/>
  <c r="AH35" i="60"/>
  <c r="AH33" i="60"/>
  <c r="AJ35" i="60"/>
  <c r="AJ33" i="60"/>
  <c r="AE36" i="60"/>
  <c r="AE34" i="60"/>
  <c r="AG36" i="60"/>
  <c r="AG34" i="60"/>
  <c r="AI36" i="60"/>
  <c r="AI34" i="60"/>
  <c r="AK36" i="60"/>
  <c r="AK34" i="60"/>
  <c r="AE35" i="60"/>
  <c r="AE33" i="60"/>
  <c r="AG35" i="60"/>
  <c r="AG33" i="60"/>
  <c r="AI35" i="60"/>
  <c r="AI33" i="60"/>
  <c r="AK35" i="60"/>
  <c r="AK33" i="60"/>
  <c r="AF36" i="60"/>
  <c r="AF34" i="60"/>
  <c r="AH36" i="60"/>
  <c r="AH34" i="60"/>
  <c r="AJ36" i="60"/>
  <c r="AJ34" i="60"/>
  <c r="X266" i="50" l="1"/>
  <c r="Y244" i="50"/>
  <c r="Y266" i="50" s="1"/>
  <c r="J266" i="50"/>
  <c r="K244" i="50"/>
  <c r="K266" i="50" s="1"/>
  <c r="C14" i="60"/>
  <c r="E111" i="1" s="1"/>
  <c r="E110" i="62" l="1"/>
  <c r="F102" i="62"/>
  <c r="M102" i="62"/>
  <c r="T102" i="62"/>
  <c r="U102" i="62" l="1"/>
  <c r="G102" i="62"/>
  <c r="N102" i="62"/>
  <c r="Z98" i="51"/>
  <c r="S98" i="51"/>
  <c r="L98" i="51"/>
  <c r="E101" i="51"/>
  <c r="E52" i="51"/>
  <c r="F52" i="51"/>
  <c r="G52" i="51"/>
  <c r="H52" i="51"/>
  <c r="I52" i="51"/>
  <c r="J52" i="51"/>
  <c r="K52" i="51"/>
  <c r="L52" i="51"/>
  <c r="M52" i="51"/>
  <c r="N52" i="51"/>
  <c r="O52" i="51"/>
  <c r="P52" i="51"/>
  <c r="Q52" i="51"/>
  <c r="R52" i="51"/>
  <c r="S52" i="51"/>
  <c r="T52" i="51"/>
  <c r="U52" i="51"/>
  <c r="V52" i="51"/>
  <c r="W52" i="51"/>
  <c r="X52" i="51"/>
  <c r="Y52" i="51"/>
  <c r="Z52" i="51"/>
  <c r="AA52" i="51"/>
  <c r="AB52" i="51"/>
  <c r="AC52" i="51"/>
  <c r="AD52" i="51"/>
  <c r="AE52" i="51"/>
  <c r="AF52" i="51"/>
  <c r="F110" i="62"/>
  <c r="M224" i="50"/>
  <c r="M246" i="50" s="1"/>
  <c r="M268" i="50" s="1"/>
  <c r="T224" i="50"/>
  <c r="T246" i="50" s="1"/>
  <c r="T268" i="50" s="1"/>
  <c r="E99" i="62"/>
  <c r="E50" i="62"/>
  <c r="S99" i="62"/>
  <c r="L99" i="62"/>
  <c r="I50" i="62"/>
  <c r="Y50" i="62"/>
  <c r="X50" i="62"/>
  <c r="W50" i="62"/>
  <c r="V50" i="62"/>
  <c r="U50" i="62"/>
  <c r="T50" i="62"/>
  <c r="S50" i="62"/>
  <c r="R50" i="62"/>
  <c r="Q50" i="62"/>
  <c r="P50" i="62"/>
  <c r="O50" i="62"/>
  <c r="N50" i="62"/>
  <c r="M50" i="62"/>
  <c r="L50" i="62"/>
  <c r="K50" i="62"/>
  <c r="J50" i="62"/>
  <c r="H50" i="62"/>
  <c r="G50" i="62"/>
  <c r="F50" i="62"/>
  <c r="N224" i="50" l="1"/>
  <c r="N246" i="50" s="1"/>
  <c r="O102" i="62"/>
  <c r="H102" i="62"/>
  <c r="V102" i="62"/>
  <c r="F224" i="50"/>
  <c r="F246" i="50" s="1"/>
  <c r="W102" i="62" l="1"/>
  <c r="I102" i="62"/>
  <c r="P102" i="62"/>
  <c r="U224" i="50"/>
  <c r="U246" i="50" s="1"/>
  <c r="O224" i="50"/>
  <c r="O246" i="50" s="1"/>
  <c r="N268" i="50"/>
  <c r="F268" i="50"/>
  <c r="G224" i="50"/>
  <c r="G246" i="50" s="1"/>
  <c r="E10" i="41"/>
  <c r="Q102" i="62" l="1"/>
  <c r="J102" i="62"/>
  <c r="X102" i="62"/>
  <c r="U268" i="50"/>
  <c r="P224" i="50"/>
  <c r="P246" i="50" s="1"/>
  <c r="O268" i="50"/>
  <c r="V224" i="50"/>
  <c r="V246" i="50" s="1"/>
  <c r="G268" i="50"/>
  <c r="H224" i="50"/>
  <c r="H246" i="50" s="1"/>
  <c r="E57" i="65"/>
  <c r="D57" i="65"/>
  <c r="E32" i="1"/>
  <c r="F32" i="1"/>
  <c r="G32" i="1"/>
  <c r="Y102" i="62" l="1"/>
  <c r="K102" i="62"/>
  <c r="R102" i="62"/>
  <c r="P268" i="50"/>
  <c r="V268" i="50"/>
  <c r="W224" i="50"/>
  <c r="W246" i="50" s="1"/>
  <c r="R224" i="50"/>
  <c r="Q224" i="50"/>
  <c r="Q246" i="50" s="1"/>
  <c r="H268" i="50"/>
  <c r="I224" i="50"/>
  <c r="I246" i="50" s="1"/>
  <c r="R70" i="53"/>
  <c r="Q70" i="53"/>
  <c r="V70" i="53" s="1"/>
  <c r="J69" i="53"/>
  <c r="D69" i="53"/>
  <c r="C69" i="53"/>
  <c r="G69" i="53" s="1"/>
  <c r="J14" i="60"/>
  <c r="K14" i="60"/>
  <c r="L14" i="60"/>
  <c r="M14" i="60"/>
  <c r="N14" i="60"/>
  <c r="O14" i="60"/>
  <c r="P14" i="60"/>
  <c r="Q14" i="60"/>
  <c r="R14" i="60"/>
  <c r="S14" i="60"/>
  <c r="T14" i="60"/>
  <c r="U14" i="60"/>
  <c r="V14" i="60"/>
  <c r="W14" i="60"/>
  <c r="X14" i="60"/>
  <c r="Y14" i="60"/>
  <c r="Z14" i="60"/>
  <c r="AA14" i="60"/>
  <c r="AB14" i="60"/>
  <c r="AC14" i="60"/>
  <c r="AD14" i="60"/>
  <c r="D14" i="60"/>
  <c r="F111" i="1" s="1"/>
  <c r="E14" i="60"/>
  <c r="G111" i="1" s="1"/>
  <c r="F14" i="60"/>
  <c r="H111" i="1" s="1"/>
  <c r="G14" i="60"/>
  <c r="I111" i="1" s="1"/>
  <c r="H14" i="60"/>
  <c r="J111" i="1" s="1"/>
  <c r="I14" i="60"/>
  <c r="K111" i="1" s="1"/>
  <c r="AX14" i="60" l="1"/>
  <c r="AT14" i="60"/>
  <c r="AW14" i="60"/>
  <c r="AS14" i="60"/>
  <c r="E69" i="53"/>
  <c r="R246" i="50"/>
  <c r="R268" i="50" s="1"/>
  <c r="Q268" i="50"/>
  <c r="W268" i="50"/>
  <c r="AY14" i="60"/>
  <c r="AU14" i="60"/>
  <c r="AV14" i="60"/>
  <c r="Y224" i="50"/>
  <c r="X224" i="50"/>
  <c r="X246" i="50" s="1"/>
  <c r="I268" i="50"/>
  <c r="K224" i="50"/>
  <c r="J224" i="50"/>
  <c r="J246" i="50" s="1"/>
  <c r="H69" i="53"/>
  <c r="I69" i="53"/>
  <c r="S70" i="53"/>
  <c r="T70" i="53"/>
  <c r="F69" i="53"/>
  <c r="W70" i="53"/>
  <c r="U70" i="53"/>
  <c r="X268" i="50" l="1"/>
  <c r="Y246" i="50"/>
  <c r="Y268" i="50" s="1"/>
  <c r="J268" i="50"/>
  <c r="K246" i="50"/>
  <c r="K268" i="50" s="1"/>
  <c r="F69" i="1"/>
  <c r="G69" i="1"/>
  <c r="H69" i="1"/>
  <c r="I69" i="1"/>
  <c r="J69" i="1"/>
  <c r="K69" i="1"/>
  <c r="E69" i="1"/>
  <c r="Q17" i="49" l="1"/>
  <c r="J17" i="49"/>
  <c r="C17" i="49"/>
  <c r="E31" i="51" l="1"/>
  <c r="F31" i="51"/>
  <c r="G31" i="51"/>
  <c r="H31" i="51"/>
  <c r="I31" i="51"/>
  <c r="J31" i="51"/>
  <c r="K31" i="51"/>
  <c r="L31" i="51"/>
  <c r="M31" i="51"/>
  <c r="N31" i="51"/>
  <c r="O31" i="51"/>
  <c r="P31" i="51"/>
  <c r="Q31" i="51"/>
  <c r="R31" i="51"/>
  <c r="S31" i="51"/>
  <c r="T31" i="51"/>
  <c r="U31" i="51"/>
  <c r="V31" i="51"/>
  <c r="W31" i="51"/>
  <c r="X31" i="51"/>
  <c r="Y31" i="51"/>
  <c r="Z31" i="51"/>
  <c r="AA31" i="51"/>
  <c r="AB31" i="51"/>
  <c r="AC31" i="51"/>
  <c r="AD31" i="51"/>
  <c r="AE31" i="51"/>
  <c r="AF31" i="51"/>
  <c r="J56" i="53"/>
  <c r="K56" i="53"/>
  <c r="L56" i="53"/>
  <c r="M56" i="53"/>
  <c r="N56" i="53"/>
  <c r="O56" i="53"/>
  <c r="P56" i="53"/>
  <c r="Q56" i="53"/>
  <c r="R56" i="53"/>
  <c r="S56" i="53"/>
  <c r="T56" i="53"/>
  <c r="U56" i="53"/>
  <c r="V56" i="53"/>
  <c r="W56" i="53"/>
  <c r="R83" i="53" l="1"/>
  <c r="R82" i="53"/>
  <c r="R81" i="53"/>
  <c r="R80" i="53"/>
  <c r="R78" i="53"/>
  <c r="R77" i="53"/>
  <c r="R76" i="53"/>
  <c r="R75" i="53"/>
  <c r="R74" i="53"/>
  <c r="R73" i="53"/>
  <c r="R71" i="53"/>
  <c r="R69" i="53"/>
  <c r="R68" i="53"/>
  <c r="R67" i="53"/>
  <c r="R65" i="53"/>
  <c r="R64" i="53"/>
  <c r="R63" i="53"/>
  <c r="R62" i="53"/>
  <c r="R60" i="53"/>
  <c r="R59" i="53"/>
  <c r="R58" i="53"/>
  <c r="R52" i="53"/>
  <c r="R51" i="53"/>
  <c r="R50" i="53"/>
  <c r="R48" i="53"/>
  <c r="R47" i="53"/>
  <c r="R46" i="53"/>
  <c r="R45" i="53"/>
  <c r="R44" i="53"/>
  <c r="R43" i="53"/>
  <c r="R42" i="53"/>
  <c r="R41" i="53"/>
  <c r="R40" i="53"/>
  <c r="R39" i="53"/>
  <c r="R38" i="53"/>
  <c r="R37" i="53"/>
  <c r="R35" i="53"/>
  <c r="R34" i="53"/>
  <c r="R33" i="53"/>
  <c r="R32" i="53"/>
  <c r="R31" i="53"/>
  <c r="R29" i="53"/>
  <c r="R27" i="53"/>
  <c r="R26" i="53"/>
  <c r="R25" i="53"/>
  <c r="R23" i="53"/>
  <c r="R22" i="53"/>
  <c r="R21" i="53"/>
  <c r="R20" i="53"/>
  <c r="R19" i="53"/>
  <c r="R17" i="53"/>
  <c r="R14" i="53"/>
  <c r="R15" i="53"/>
  <c r="R16" i="53"/>
  <c r="R13" i="53"/>
  <c r="K83" i="53"/>
  <c r="K82" i="53"/>
  <c r="K81" i="53"/>
  <c r="K80" i="53"/>
  <c r="K78" i="53"/>
  <c r="K77" i="53"/>
  <c r="K76" i="53"/>
  <c r="K75" i="53"/>
  <c r="K74" i="53"/>
  <c r="K73" i="53"/>
  <c r="K71" i="53"/>
  <c r="K70" i="53"/>
  <c r="K69" i="53"/>
  <c r="K68" i="53"/>
  <c r="K67" i="53"/>
  <c r="K65" i="53"/>
  <c r="K64" i="53"/>
  <c r="K63" i="53"/>
  <c r="K62" i="53"/>
  <c r="K60" i="53"/>
  <c r="K59" i="53"/>
  <c r="K58" i="53"/>
  <c r="K52" i="53"/>
  <c r="K51" i="53"/>
  <c r="K50" i="53"/>
  <c r="K48" i="53"/>
  <c r="K47" i="53"/>
  <c r="K46" i="53"/>
  <c r="K45" i="53"/>
  <c r="K44" i="53"/>
  <c r="K43" i="53"/>
  <c r="K42" i="53"/>
  <c r="K41" i="53"/>
  <c r="K40" i="53"/>
  <c r="K39" i="53"/>
  <c r="K38" i="53"/>
  <c r="K37" i="53"/>
  <c r="K35" i="53"/>
  <c r="K34" i="53"/>
  <c r="K33" i="53"/>
  <c r="K32" i="53"/>
  <c r="K31" i="53"/>
  <c r="K29" i="53"/>
  <c r="K17" i="53"/>
  <c r="K26" i="53"/>
  <c r="K27" i="53"/>
  <c r="K25" i="53"/>
  <c r="K23" i="53"/>
  <c r="K20" i="53"/>
  <c r="K21" i="53"/>
  <c r="K22" i="53"/>
  <c r="K14" i="53"/>
  <c r="K15" i="53"/>
  <c r="K16" i="53"/>
  <c r="K19" i="53"/>
  <c r="K13" i="53"/>
  <c r="AB9" i="54"/>
  <c r="AB87" i="54" s="1"/>
  <c r="AB12" i="54"/>
  <c r="F96" i="53"/>
  <c r="G96" i="53"/>
  <c r="H96" i="53"/>
  <c r="I96" i="53"/>
  <c r="R100" i="53"/>
  <c r="S100" i="53"/>
  <c r="T100" i="53"/>
  <c r="U100" i="53"/>
  <c r="V100" i="53"/>
  <c r="W100" i="53"/>
  <c r="Q100" i="53"/>
  <c r="K97" i="53"/>
  <c r="L97" i="53"/>
  <c r="M97" i="53"/>
  <c r="N97" i="53"/>
  <c r="O97" i="53"/>
  <c r="P97" i="53"/>
  <c r="J97" i="53"/>
  <c r="D96" i="53"/>
  <c r="E96" i="53"/>
  <c r="C96" i="53"/>
  <c r="AB11" i="54" l="1"/>
  <c r="S18" i="17" l="1"/>
  <c r="R18" i="17"/>
  <c r="S17" i="17"/>
  <c r="R17" i="17"/>
  <c r="S16" i="17"/>
  <c r="R16" i="17"/>
  <c r="S11" i="17"/>
  <c r="R11" i="17"/>
  <c r="K11" i="17"/>
  <c r="L11" i="17"/>
  <c r="E11" i="17"/>
  <c r="D11" i="17"/>
  <c r="E8" i="17"/>
  <c r="L8" i="17" s="1"/>
  <c r="S8" i="17" s="1"/>
  <c r="D8" i="17"/>
  <c r="K8" i="17" s="1"/>
  <c r="R8" i="17" s="1"/>
  <c r="D9" i="20"/>
  <c r="E9" i="20"/>
  <c r="D7" i="20"/>
  <c r="E7" i="20"/>
  <c r="E22" i="17" l="1"/>
  <c r="D22" i="17"/>
  <c r="D80" i="53"/>
  <c r="D81" i="53"/>
  <c r="D82" i="53"/>
  <c r="D83" i="53"/>
  <c r="D73" i="53"/>
  <c r="D74" i="53"/>
  <c r="D75" i="53"/>
  <c r="D76" i="53"/>
  <c r="D77" i="53"/>
  <c r="D78" i="53"/>
  <c r="D70" i="53"/>
  <c r="D71" i="53"/>
  <c r="D67" i="53"/>
  <c r="D68" i="53"/>
  <c r="D62" i="53"/>
  <c r="D63" i="53"/>
  <c r="D64" i="53"/>
  <c r="D65" i="53"/>
  <c r="D58" i="53"/>
  <c r="D59" i="53"/>
  <c r="D60" i="53"/>
  <c r="D50" i="53"/>
  <c r="D51" i="53"/>
  <c r="D52" i="53"/>
  <c r="D37" i="53"/>
  <c r="D38" i="53"/>
  <c r="D39" i="53"/>
  <c r="D40" i="53"/>
  <c r="D41" i="53"/>
  <c r="D42" i="53"/>
  <c r="D43" i="53"/>
  <c r="D44" i="53"/>
  <c r="D45" i="53"/>
  <c r="D46" i="53"/>
  <c r="D47" i="53"/>
  <c r="D48" i="53"/>
  <c r="D31" i="53"/>
  <c r="D32" i="53"/>
  <c r="D33" i="53"/>
  <c r="D34" i="53"/>
  <c r="D35" i="53"/>
  <c r="D29" i="53"/>
  <c r="D25" i="53"/>
  <c r="D26" i="53"/>
  <c r="D27" i="53"/>
  <c r="D19" i="53"/>
  <c r="D20" i="53"/>
  <c r="D21" i="53"/>
  <c r="D22" i="53"/>
  <c r="D23" i="53"/>
  <c r="D17" i="53"/>
  <c r="K17" i="39" s="1"/>
  <c r="D13" i="53"/>
  <c r="D14" i="53"/>
  <c r="D15" i="53"/>
  <c r="D16" i="53"/>
  <c r="D12" i="21"/>
  <c r="E12" i="21"/>
  <c r="D12" i="53" l="1"/>
  <c r="D18" i="53"/>
  <c r="AD21" i="60" l="1"/>
  <c r="AC21" i="60"/>
  <c r="AB21" i="60"/>
  <c r="AA21" i="60"/>
  <c r="Z21" i="60"/>
  <c r="Y21" i="60"/>
  <c r="W21" i="60"/>
  <c r="V21" i="60"/>
  <c r="U21" i="60"/>
  <c r="T21" i="60"/>
  <c r="S21" i="60"/>
  <c r="R21" i="60"/>
  <c r="P21" i="60"/>
  <c r="O21" i="60"/>
  <c r="N21" i="60"/>
  <c r="M21" i="60"/>
  <c r="L21" i="60"/>
  <c r="K21" i="60"/>
  <c r="I21" i="60"/>
  <c r="H21" i="60"/>
  <c r="G21" i="60"/>
  <c r="F21" i="60"/>
  <c r="E21" i="60"/>
  <c r="D21" i="60"/>
  <c r="X21" i="60"/>
  <c r="Q21" i="60"/>
  <c r="J21" i="60"/>
  <c r="E94" i="62"/>
  <c r="E80" i="62"/>
  <c r="E79" i="62" s="1"/>
  <c r="E74" i="62"/>
  <c r="E64" i="62"/>
  <c r="E61" i="62"/>
  <c r="Y45" i="62"/>
  <c r="X45" i="62"/>
  <c r="W45" i="62"/>
  <c r="V45" i="62"/>
  <c r="U45" i="62"/>
  <c r="T45" i="62"/>
  <c r="S45" i="62"/>
  <c r="R45" i="62"/>
  <c r="Q45" i="62"/>
  <c r="P45" i="62"/>
  <c r="O45" i="62"/>
  <c r="N45" i="62"/>
  <c r="M45" i="62"/>
  <c r="L45" i="62"/>
  <c r="K45" i="62"/>
  <c r="J45" i="62"/>
  <c r="I45" i="62"/>
  <c r="H45" i="62"/>
  <c r="G45" i="62"/>
  <c r="F45" i="62"/>
  <c r="E45" i="62"/>
  <c r="Y31" i="62"/>
  <c r="Y30" i="62" s="1"/>
  <c r="X31" i="62"/>
  <c r="X30" i="62" s="1"/>
  <c r="W31" i="62"/>
  <c r="W30" i="62" s="1"/>
  <c r="V31" i="62"/>
  <c r="V30" i="62" s="1"/>
  <c r="U31" i="62"/>
  <c r="U30" i="62" s="1"/>
  <c r="T31" i="62"/>
  <c r="T30" i="62" s="1"/>
  <c r="S31" i="62"/>
  <c r="S30" i="62" s="1"/>
  <c r="R31" i="62"/>
  <c r="R30" i="62" s="1"/>
  <c r="Q31" i="62"/>
  <c r="Q30" i="62" s="1"/>
  <c r="P31" i="62"/>
  <c r="P30" i="62" s="1"/>
  <c r="O31" i="62"/>
  <c r="O30" i="62" s="1"/>
  <c r="N31" i="62"/>
  <c r="N30" i="62" s="1"/>
  <c r="M31" i="62"/>
  <c r="M30" i="62" s="1"/>
  <c r="L31" i="62"/>
  <c r="L30" i="62" s="1"/>
  <c r="K31" i="62"/>
  <c r="K30" i="62" s="1"/>
  <c r="J31" i="62"/>
  <c r="J30" i="62" s="1"/>
  <c r="I31" i="62"/>
  <c r="I30" i="62" s="1"/>
  <c r="H31" i="62"/>
  <c r="H30" i="62" s="1"/>
  <c r="G31" i="62"/>
  <c r="G30" i="62" s="1"/>
  <c r="F31" i="62"/>
  <c r="F30" i="62" s="1"/>
  <c r="E31" i="62"/>
  <c r="E30" i="62" s="1"/>
  <c r="Y25" i="62"/>
  <c r="X25" i="62"/>
  <c r="W25" i="62"/>
  <c r="V25" i="62"/>
  <c r="U25" i="62"/>
  <c r="T25" i="62"/>
  <c r="S25" i="62"/>
  <c r="R25" i="62"/>
  <c r="Q25" i="62"/>
  <c r="P25" i="62"/>
  <c r="O25" i="62"/>
  <c r="N25" i="62"/>
  <c r="M25" i="62"/>
  <c r="L25" i="62"/>
  <c r="K25" i="62"/>
  <c r="J25" i="62"/>
  <c r="I25" i="62"/>
  <c r="H25" i="62"/>
  <c r="G25" i="62"/>
  <c r="F25" i="62"/>
  <c r="E25" i="62"/>
  <c r="Y22" i="62"/>
  <c r="Y18" i="62" s="1"/>
  <c r="X22" i="62"/>
  <c r="W22" i="62"/>
  <c r="V22" i="62"/>
  <c r="U22" i="62"/>
  <c r="U18" i="62" s="1"/>
  <c r="T22" i="62"/>
  <c r="S22" i="62"/>
  <c r="R22" i="62"/>
  <c r="Q22" i="62"/>
  <c r="Q18" i="62" s="1"/>
  <c r="P22" i="62"/>
  <c r="O22" i="62"/>
  <c r="N22" i="62"/>
  <c r="M22" i="62"/>
  <c r="M18" i="62" s="1"/>
  <c r="L22" i="62"/>
  <c r="K22" i="62"/>
  <c r="J22" i="62"/>
  <c r="I22" i="62"/>
  <c r="I18" i="62" s="1"/>
  <c r="H22" i="62"/>
  <c r="G22" i="62"/>
  <c r="F22" i="62"/>
  <c r="E22" i="62"/>
  <c r="Y15" i="62"/>
  <c r="X15" i="62"/>
  <c r="W15" i="62"/>
  <c r="V15" i="62"/>
  <c r="U15" i="62"/>
  <c r="T15" i="62"/>
  <c r="S15" i="62"/>
  <c r="R15" i="62"/>
  <c r="Q15" i="62"/>
  <c r="P15" i="62"/>
  <c r="O15" i="62"/>
  <c r="N15" i="62"/>
  <c r="M15" i="62"/>
  <c r="L15" i="62"/>
  <c r="K15" i="62"/>
  <c r="J15" i="62"/>
  <c r="I15" i="62"/>
  <c r="H15" i="62"/>
  <c r="G15" i="62"/>
  <c r="F15" i="62"/>
  <c r="E15" i="62"/>
  <c r="Y12" i="62"/>
  <c r="X12" i="62"/>
  <c r="W12" i="62"/>
  <c r="V12" i="62"/>
  <c r="U12" i="62"/>
  <c r="T12" i="62"/>
  <c r="S12" i="62"/>
  <c r="R12" i="62"/>
  <c r="Q12" i="62"/>
  <c r="P12" i="62"/>
  <c r="O12" i="62"/>
  <c r="N12" i="62"/>
  <c r="M12" i="62"/>
  <c r="L12" i="62"/>
  <c r="K12" i="62"/>
  <c r="J12" i="62"/>
  <c r="I12" i="62"/>
  <c r="H12" i="62"/>
  <c r="G12" i="62"/>
  <c r="F12" i="62"/>
  <c r="E12" i="62"/>
  <c r="S68" i="50"/>
  <c r="L68" i="50"/>
  <c r="E35" i="41"/>
  <c r="F35" i="41"/>
  <c r="G35" i="41"/>
  <c r="H35" i="41"/>
  <c r="I35" i="41"/>
  <c r="J35" i="41"/>
  <c r="K35" i="41"/>
  <c r="E47" i="41"/>
  <c r="F47" i="41"/>
  <c r="G47" i="41"/>
  <c r="H47" i="41"/>
  <c r="I47" i="41"/>
  <c r="J47" i="41"/>
  <c r="K47" i="41"/>
  <c r="E56" i="41"/>
  <c r="E70" i="41" s="1"/>
  <c r="F56" i="41"/>
  <c r="F70" i="41" s="1"/>
  <c r="G56" i="41"/>
  <c r="G70" i="41" s="1"/>
  <c r="H56" i="41"/>
  <c r="H70" i="41" s="1"/>
  <c r="I56" i="41"/>
  <c r="I70" i="41" s="1"/>
  <c r="J56" i="41"/>
  <c r="J70" i="41" s="1"/>
  <c r="K56" i="41"/>
  <c r="K70" i="41" s="1"/>
  <c r="E59" i="41"/>
  <c r="E69" i="41" s="1"/>
  <c r="F59" i="41"/>
  <c r="F69" i="41" s="1"/>
  <c r="G59" i="41"/>
  <c r="G69" i="41" s="1"/>
  <c r="H59" i="41"/>
  <c r="H69" i="41" s="1"/>
  <c r="I59" i="41"/>
  <c r="I69" i="41" s="1"/>
  <c r="J59" i="41"/>
  <c r="J69" i="41" s="1"/>
  <c r="K59" i="41"/>
  <c r="K69" i="41" s="1"/>
  <c r="G10" i="41"/>
  <c r="K10" i="41"/>
  <c r="I10" i="41"/>
  <c r="H10" i="41"/>
  <c r="E18" i="62" l="1"/>
  <c r="C30" i="47"/>
  <c r="C12" i="47"/>
  <c r="H30" i="47"/>
  <c r="H12" i="47"/>
  <c r="G12" i="47"/>
  <c r="G30" i="47"/>
  <c r="F30" i="47"/>
  <c r="F12" i="47"/>
  <c r="E30" i="47"/>
  <c r="E12" i="47"/>
  <c r="D30" i="47"/>
  <c r="D12" i="47"/>
  <c r="E81" i="41"/>
  <c r="F18" i="62"/>
  <c r="F11" i="62" s="1"/>
  <c r="J18" i="62"/>
  <c r="J11" i="62" s="1"/>
  <c r="N18" i="62"/>
  <c r="R18" i="62"/>
  <c r="V18" i="62"/>
  <c r="M11" i="62"/>
  <c r="Q11" i="62"/>
  <c r="U11" i="62"/>
  <c r="Y11" i="62"/>
  <c r="E67" i="62"/>
  <c r="H18" i="62"/>
  <c r="L18" i="62"/>
  <c r="P18" i="62"/>
  <c r="T18" i="62"/>
  <c r="X18" i="62"/>
  <c r="G18" i="62"/>
  <c r="O18" i="62"/>
  <c r="S18" i="62"/>
  <c r="W18" i="62"/>
  <c r="K18" i="62"/>
  <c r="I11" i="62"/>
  <c r="E11" i="62"/>
  <c r="G81" i="41"/>
  <c r="AW21" i="60"/>
  <c r="AY21" i="60"/>
  <c r="AU21" i="60"/>
  <c r="AV21" i="60"/>
  <c r="AX21" i="60"/>
  <c r="AT21" i="60"/>
  <c r="H68" i="41"/>
  <c r="G68" i="41"/>
  <c r="J10" i="41"/>
  <c r="J68" i="41" s="1"/>
  <c r="F10" i="41"/>
  <c r="F68" i="41" s="1"/>
  <c r="K68" i="41"/>
  <c r="I68" i="41"/>
  <c r="B6" i="48"/>
  <c r="C6" i="48"/>
  <c r="C40" i="48"/>
  <c r="B6" i="47"/>
  <c r="C6" i="47"/>
  <c r="C17" i="47"/>
  <c r="B37" i="47"/>
  <c r="C37" i="47"/>
  <c r="V11" i="62" l="1"/>
  <c r="N11" i="62"/>
  <c r="W11" i="62"/>
  <c r="O11" i="62"/>
  <c r="K11" i="62"/>
  <c r="G11" i="62"/>
  <c r="H11" i="62"/>
  <c r="R11" i="62"/>
  <c r="P11" i="62"/>
  <c r="L11" i="62"/>
  <c r="T11" i="62"/>
  <c r="X11" i="62"/>
  <c r="S11" i="62"/>
  <c r="B7" i="47"/>
  <c r="B37" i="48"/>
  <c r="B36" i="48" s="1"/>
  <c r="B19" i="48" s="1"/>
  <c r="C37" i="48"/>
  <c r="B43" i="48"/>
  <c r="B44" i="48" s="1"/>
  <c r="Q40" i="7" l="1"/>
  <c r="X17" i="60"/>
  <c r="Y17" i="60"/>
  <c r="Z17" i="60"/>
  <c r="AA17" i="60"/>
  <c r="AB17" i="60"/>
  <c r="AC17" i="60"/>
  <c r="AD17" i="60"/>
  <c r="X16" i="60"/>
  <c r="Y16" i="60"/>
  <c r="Z16" i="60"/>
  <c r="AA16" i="60"/>
  <c r="AB16" i="60"/>
  <c r="AC16" i="60"/>
  <c r="AD16" i="60"/>
  <c r="AD15" i="60"/>
  <c r="AD29" i="60" s="1"/>
  <c r="X15" i="60"/>
  <c r="X29" i="60" s="1"/>
  <c r="Y15" i="60"/>
  <c r="Y29" i="60" s="1"/>
  <c r="Z15" i="60"/>
  <c r="Z29" i="60" s="1"/>
  <c r="AA15" i="60"/>
  <c r="AA29" i="60" s="1"/>
  <c r="AB15" i="60"/>
  <c r="AB29" i="60" s="1"/>
  <c r="AC15" i="60"/>
  <c r="AC29" i="60" s="1"/>
  <c r="T16" i="17"/>
  <c r="U16" i="17"/>
  <c r="V16" i="17"/>
  <c r="W16" i="17"/>
  <c r="X16" i="17"/>
  <c r="T17" i="17"/>
  <c r="U17" i="17"/>
  <c r="V17" i="17"/>
  <c r="W17" i="17"/>
  <c r="X17" i="17"/>
  <c r="T18" i="17"/>
  <c r="U18" i="17"/>
  <c r="V18" i="17"/>
  <c r="W18" i="17"/>
  <c r="X18" i="17"/>
  <c r="L62" i="41" l="1"/>
  <c r="AA62" i="41" s="1"/>
  <c r="L67" i="41"/>
  <c r="AA67" i="41" s="1"/>
  <c r="L66" i="41"/>
  <c r="AA66" i="41" s="1"/>
  <c r="L65" i="41"/>
  <c r="L64" i="41"/>
  <c r="AA64" i="41" s="1"/>
  <c r="L63" i="41"/>
  <c r="AA63" i="41" s="1"/>
  <c r="L61" i="41"/>
  <c r="AA61" i="41" s="1"/>
  <c r="L60" i="41"/>
  <c r="AA60" i="41" s="1"/>
  <c r="L58" i="41"/>
  <c r="AA58" i="41" s="1"/>
  <c r="L57" i="41"/>
  <c r="AA57" i="41" s="1"/>
  <c r="L55" i="41"/>
  <c r="AA55" i="41" s="1"/>
  <c r="L54" i="41"/>
  <c r="AA54" i="41" s="1"/>
  <c r="L53" i="41"/>
  <c r="AA53" i="41" s="1"/>
  <c r="L52" i="41"/>
  <c r="AA52" i="41" s="1"/>
  <c r="L51" i="41"/>
  <c r="AA51" i="41" s="1"/>
  <c r="L50" i="41"/>
  <c r="AA50" i="41" s="1"/>
  <c r="L49" i="41"/>
  <c r="L48" i="41"/>
  <c r="L37" i="41"/>
  <c r="AA37" i="41" s="1"/>
  <c r="L38" i="41"/>
  <c r="AA38" i="41" s="1"/>
  <c r="L39" i="41"/>
  <c r="AA39" i="41" s="1"/>
  <c r="L40" i="41"/>
  <c r="AA40" i="41" s="1"/>
  <c r="L41" i="41"/>
  <c r="AA41" i="41" s="1"/>
  <c r="L42" i="41"/>
  <c r="AA42" i="41" s="1"/>
  <c r="L43" i="41"/>
  <c r="AA43" i="41" s="1"/>
  <c r="L44" i="41"/>
  <c r="AA44" i="41" s="1"/>
  <c r="L45" i="41"/>
  <c r="AA45" i="41" s="1"/>
  <c r="L46" i="41"/>
  <c r="AA46" i="41" s="1"/>
  <c r="L36" i="41"/>
  <c r="AA36" i="41" s="1"/>
  <c r="L12" i="41"/>
  <c r="AA12" i="41" s="1"/>
  <c r="L13" i="41"/>
  <c r="AA13" i="41" s="1"/>
  <c r="L14" i="41"/>
  <c r="AA14" i="41" s="1"/>
  <c r="L15" i="41"/>
  <c r="AA15" i="41" s="1"/>
  <c r="L16" i="41"/>
  <c r="AA16" i="41" s="1"/>
  <c r="L17" i="41"/>
  <c r="AA17" i="41" s="1"/>
  <c r="L18" i="41"/>
  <c r="AA18" i="41" s="1"/>
  <c r="L19" i="41"/>
  <c r="AA19" i="41" s="1"/>
  <c r="L20" i="41"/>
  <c r="AA20" i="41" s="1"/>
  <c r="L21" i="41"/>
  <c r="AA21" i="41" s="1"/>
  <c r="L22" i="41"/>
  <c r="AA22" i="41" s="1"/>
  <c r="L23" i="41"/>
  <c r="AA23" i="41" s="1"/>
  <c r="L24" i="41"/>
  <c r="AA24" i="41" s="1"/>
  <c r="L25" i="41"/>
  <c r="AA25" i="41" s="1"/>
  <c r="L26" i="41"/>
  <c r="AA26" i="41" s="1"/>
  <c r="L27" i="41"/>
  <c r="AA27" i="41" s="1"/>
  <c r="L28" i="41"/>
  <c r="AA28" i="41" s="1"/>
  <c r="L29" i="41"/>
  <c r="AA29" i="41" s="1"/>
  <c r="L30" i="41"/>
  <c r="AA30" i="41" s="1"/>
  <c r="L31" i="41"/>
  <c r="AA31" i="41" s="1"/>
  <c r="L32" i="41"/>
  <c r="AA32" i="41" s="1"/>
  <c r="L33" i="41"/>
  <c r="AA33" i="41" s="1"/>
  <c r="L34" i="41"/>
  <c r="AA34" i="41" s="1"/>
  <c r="L11" i="41"/>
  <c r="AA11" i="41" s="1"/>
  <c r="K9" i="41"/>
  <c r="S9" i="41" s="1"/>
  <c r="Z9" i="41" s="1"/>
  <c r="J9" i="41"/>
  <c r="AJ9" i="41" s="1"/>
  <c r="I9" i="41"/>
  <c r="Q9" i="41" s="1"/>
  <c r="X9" i="41" s="1"/>
  <c r="H9" i="41"/>
  <c r="P9" i="41" s="1"/>
  <c r="W9" i="41" s="1"/>
  <c r="G9" i="41"/>
  <c r="O9" i="41" s="1"/>
  <c r="V9" i="41" s="1"/>
  <c r="F9" i="41"/>
  <c r="AF9" i="41" s="1"/>
  <c r="E9" i="41"/>
  <c r="M9" i="41" s="1"/>
  <c r="T9" i="41" s="1"/>
  <c r="AA48" i="41" l="1"/>
  <c r="AA49" i="41"/>
  <c r="AA65" i="41"/>
  <c r="AH9" i="41"/>
  <c r="R9" i="41"/>
  <c r="Y9" i="41" s="1"/>
  <c r="N9" i="41"/>
  <c r="U9" i="41" s="1"/>
  <c r="AE9" i="41"/>
  <c r="AI9" i="41"/>
  <c r="AG9" i="41"/>
  <c r="AK9" i="41"/>
  <c r="E48" i="46" l="1"/>
  <c r="F48" i="46"/>
  <c r="G48" i="46"/>
  <c r="H48" i="46"/>
  <c r="I48" i="46"/>
  <c r="J48" i="46"/>
  <c r="K48" i="46"/>
  <c r="L48" i="46"/>
  <c r="M48" i="46"/>
  <c r="N48" i="46"/>
  <c r="O48" i="46"/>
  <c r="P48" i="46"/>
  <c r="Q48" i="46"/>
  <c r="D48" i="46"/>
  <c r="E36" i="46"/>
  <c r="F36" i="46"/>
  <c r="G36" i="46"/>
  <c r="H36" i="46"/>
  <c r="I36" i="46"/>
  <c r="J36" i="46"/>
  <c r="K36" i="46"/>
  <c r="L36" i="46"/>
  <c r="M36" i="46"/>
  <c r="N36" i="46"/>
  <c r="O36" i="46"/>
  <c r="P36" i="46"/>
  <c r="Q36" i="46"/>
  <c r="D36" i="46"/>
  <c r="E23" i="46"/>
  <c r="F23" i="46"/>
  <c r="G23" i="46"/>
  <c r="H23" i="46"/>
  <c r="I23" i="46"/>
  <c r="J23" i="46"/>
  <c r="L23" i="46"/>
  <c r="M23" i="46"/>
  <c r="N23" i="46"/>
  <c r="O23" i="46"/>
  <c r="P23" i="46"/>
  <c r="Q23" i="46"/>
  <c r="J7" i="46"/>
  <c r="Q7" i="46" s="1"/>
  <c r="I7" i="46"/>
  <c r="P7" i="46" s="1"/>
  <c r="H7" i="46"/>
  <c r="O7" i="46" s="1"/>
  <c r="G7" i="46"/>
  <c r="N7" i="46" s="1"/>
  <c r="F7" i="46"/>
  <c r="M7" i="46" s="1"/>
  <c r="E7" i="46"/>
  <c r="L7" i="46" s="1"/>
  <c r="D7" i="46"/>
  <c r="K7" i="46" s="1"/>
  <c r="W52" i="39"/>
  <c r="V52" i="39"/>
  <c r="U52" i="39"/>
  <c r="T52" i="39"/>
  <c r="S52" i="39"/>
  <c r="R52" i="39"/>
  <c r="Q52" i="39"/>
  <c r="W51" i="39"/>
  <c r="V51" i="39"/>
  <c r="U51" i="39"/>
  <c r="T51" i="39"/>
  <c r="S51" i="39"/>
  <c r="R51" i="39"/>
  <c r="Q51" i="39"/>
  <c r="W36" i="39"/>
  <c r="V36" i="39"/>
  <c r="U36" i="39"/>
  <c r="T36" i="39"/>
  <c r="S36" i="39"/>
  <c r="R36" i="39"/>
  <c r="Q36" i="39"/>
  <c r="W35" i="39"/>
  <c r="V35" i="39"/>
  <c r="U35" i="39"/>
  <c r="T35" i="39"/>
  <c r="S35" i="39"/>
  <c r="R35" i="39"/>
  <c r="Q35" i="39"/>
  <c r="W34" i="39"/>
  <c r="V34" i="39"/>
  <c r="U34" i="39"/>
  <c r="T34" i="39"/>
  <c r="S34" i="39"/>
  <c r="R34" i="39"/>
  <c r="Q34" i="39"/>
  <c r="W24" i="39"/>
  <c r="V24" i="39"/>
  <c r="U24" i="39"/>
  <c r="T24" i="39"/>
  <c r="S24" i="39"/>
  <c r="R24" i="39"/>
  <c r="Q24" i="39"/>
  <c r="W23" i="39"/>
  <c r="V23" i="39"/>
  <c r="U23" i="39"/>
  <c r="T23" i="39"/>
  <c r="S23" i="39"/>
  <c r="R23" i="39"/>
  <c r="Q23" i="39"/>
  <c r="W22" i="39"/>
  <c r="V22" i="39"/>
  <c r="U22" i="39"/>
  <c r="T22" i="39"/>
  <c r="S22" i="39"/>
  <c r="R22" i="39"/>
  <c r="Q22" i="39"/>
  <c r="W11" i="39"/>
  <c r="V11" i="39"/>
  <c r="U11" i="39"/>
  <c r="T11" i="39"/>
  <c r="S11" i="39"/>
  <c r="R11" i="39"/>
  <c r="Q11" i="39"/>
  <c r="W10" i="39"/>
  <c r="V10" i="39"/>
  <c r="U10" i="39"/>
  <c r="T10" i="39"/>
  <c r="S10" i="39"/>
  <c r="R10" i="39"/>
  <c r="Q10" i="39"/>
  <c r="W9" i="39"/>
  <c r="V9" i="39"/>
  <c r="U9" i="39"/>
  <c r="T9" i="39"/>
  <c r="S9" i="39"/>
  <c r="R9" i="39"/>
  <c r="Q9" i="39"/>
  <c r="E98" i="53" l="1"/>
  <c r="H98" i="53"/>
  <c r="D98" i="53"/>
  <c r="I98" i="53"/>
  <c r="G98" i="53"/>
  <c r="C98" i="53"/>
  <c r="F98" i="53"/>
  <c r="H7" i="1"/>
  <c r="F96" i="1"/>
  <c r="G96" i="1"/>
  <c r="H96" i="1"/>
  <c r="I96" i="1"/>
  <c r="J96" i="1"/>
  <c r="K96" i="1"/>
  <c r="E96" i="1"/>
  <c r="F31" i="2" l="1"/>
  <c r="G31" i="2"/>
  <c r="H31" i="2"/>
  <c r="I31" i="2"/>
  <c r="J31" i="2"/>
  <c r="K31" i="2"/>
  <c r="E31" i="2"/>
  <c r="F30" i="2"/>
  <c r="G30" i="2"/>
  <c r="H30" i="2"/>
  <c r="I30" i="2"/>
  <c r="J30" i="2"/>
  <c r="K30" i="2"/>
  <c r="E30" i="2"/>
  <c r="K7" i="1"/>
  <c r="R7" i="1" s="1"/>
  <c r="T7" i="1" s="1"/>
  <c r="J7" i="1"/>
  <c r="Q7" i="1" s="1"/>
  <c r="I7" i="1"/>
  <c r="P7" i="1" s="1"/>
  <c r="O7" i="1"/>
  <c r="G7" i="1"/>
  <c r="N7" i="1" s="1"/>
  <c r="F7" i="1"/>
  <c r="M7" i="1" s="1"/>
  <c r="E7" i="1"/>
  <c r="L7" i="1" s="1"/>
  <c r="S7" i="1" s="1"/>
  <c r="F19" i="2"/>
  <c r="G19" i="2"/>
  <c r="H19" i="2"/>
  <c r="I19" i="2"/>
  <c r="J19" i="2"/>
  <c r="K19" i="2"/>
  <c r="E19" i="2"/>
  <c r="F14" i="2" l="1"/>
  <c r="G14" i="2"/>
  <c r="H14" i="2"/>
  <c r="I14" i="2"/>
  <c r="J14" i="2"/>
  <c r="K14" i="2"/>
  <c r="E14" i="2"/>
  <c r="F15" i="2"/>
  <c r="G15" i="2"/>
  <c r="H15" i="2"/>
  <c r="I15" i="2"/>
  <c r="J15" i="2"/>
  <c r="K15" i="2"/>
  <c r="E15" i="2"/>
  <c r="Y215" i="50" l="1"/>
  <c r="Y219" i="50"/>
  <c r="Y225" i="50"/>
  <c r="Y229" i="50"/>
  <c r="R215" i="50"/>
  <c r="R219" i="50"/>
  <c r="R225" i="50"/>
  <c r="R229" i="50"/>
  <c r="R233" i="50"/>
  <c r="R214" i="50"/>
  <c r="K215" i="50"/>
  <c r="F219" i="50"/>
  <c r="F220" i="50"/>
  <c r="F221" i="50"/>
  <c r="F243" i="50" s="1"/>
  <c r="F223" i="50"/>
  <c r="F245" i="50" s="1"/>
  <c r="F225" i="50"/>
  <c r="F247" i="50" s="1"/>
  <c r="F226" i="50"/>
  <c r="F248" i="50" s="1"/>
  <c r="F227" i="50"/>
  <c r="F249" i="50" s="1"/>
  <c r="F229" i="50"/>
  <c r="F251" i="50" s="1"/>
  <c r="F230" i="50"/>
  <c r="F252" i="50" s="1"/>
  <c r="F231" i="50"/>
  <c r="F253" i="50" s="1"/>
  <c r="F233" i="50"/>
  <c r="F255" i="50" s="1"/>
  <c r="F234" i="50"/>
  <c r="F62" i="62"/>
  <c r="F270" i="50" l="1"/>
  <c r="F277" i="50"/>
  <c r="F275" i="50"/>
  <c r="F273" i="50"/>
  <c r="F271" i="50"/>
  <c r="F269" i="50"/>
  <c r="F274" i="50"/>
  <c r="F267" i="50"/>
  <c r="F154" i="62"/>
  <c r="N229" i="50"/>
  <c r="H231" i="50"/>
  <c r="G219" i="50"/>
  <c r="M214" i="50"/>
  <c r="W229" i="50"/>
  <c r="P233" i="50"/>
  <c r="U225" i="50"/>
  <c r="Q214" i="50"/>
  <c r="N233" i="50"/>
  <c r="P219" i="50"/>
  <c r="U229" i="50"/>
  <c r="O214" i="50"/>
  <c r="P225" i="50"/>
  <c r="N219" i="50"/>
  <c r="W219" i="50"/>
  <c r="G221" i="50"/>
  <c r="P229" i="50"/>
  <c r="N225" i="50"/>
  <c r="W225" i="50"/>
  <c r="U219" i="50"/>
  <c r="G214" i="50"/>
  <c r="H229" i="50"/>
  <c r="M232" i="50"/>
  <c r="M223" i="50"/>
  <c r="M245" i="50" s="1"/>
  <c r="M218" i="50"/>
  <c r="T228" i="50"/>
  <c r="T250" i="50" s="1"/>
  <c r="T223" i="50"/>
  <c r="T245" i="50" s="1"/>
  <c r="T218" i="50"/>
  <c r="F232" i="50"/>
  <c r="F254" i="50" s="1"/>
  <c r="F228" i="50"/>
  <c r="F250" i="50" s="1"/>
  <c r="F218" i="50"/>
  <c r="M234" i="50"/>
  <c r="M230" i="50"/>
  <c r="M252" i="50" s="1"/>
  <c r="M226" i="50"/>
  <c r="M248" i="50" s="1"/>
  <c r="M220" i="50"/>
  <c r="T234" i="50"/>
  <c r="T230" i="50"/>
  <c r="T252" i="50" s="1"/>
  <c r="T226" i="50"/>
  <c r="T248" i="50" s="1"/>
  <c r="T220" i="50"/>
  <c r="F214" i="50"/>
  <c r="G229" i="50"/>
  <c r="G251" i="50" s="1"/>
  <c r="T214" i="50"/>
  <c r="U214" i="50"/>
  <c r="M228" i="50"/>
  <c r="M250" i="50" s="1"/>
  <c r="T232" i="50"/>
  <c r="M231" i="50"/>
  <c r="M253" i="50" s="1"/>
  <c r="M227" i="50"/>
  <c r="M249" i="50" s="1"/>
  <c r="M221" i="50"/>
  <c r="T231" i="50"/>
  <c r="T253" i="50" s="1"/>
  <c r="T227" i="50"/>
  <c r="T249" i="50" s="1"/>
  <c r="T221" i="50"/>
  <c r="N214" i="50"/>
  <c r="Q233" i="50"/>
  <c r="M233" i="50"/>
  <c r="Q229" i="50"/>
  <c r="M229" i="50"/>
  <c r="M251" i="50" s="1"/>
  <c r="Q225" i="50"/>
  <c r="M225" i="50"/>
  <c r="M247" i="50" s="1"/>
  <c r="Q219" i="50"/>
  <c r="M219" i="50"/>
  <c r="X229" i="50"/>
  <c r="T229" i="50"/>
  <c r="T251" i="50" s="1"/>
  <c r="X225" i="50"/>
  <c r="T225" i="50"/>
  <c r="T247" i="50" s="1"/>
  <c r="X219" i="50"/>
  <c r="T219" i="50"/>
  <c r="P214" i="50"/>
  <c r="O233" i="50"/>
  <c r="O229" i="50"/>
  <c r="O225" i="50"/>
  <c r="O219" i="50"/>
  <c r="V229" i="50"/>
  <c r="V225" i="50"/>
  <c r="V219" i="50"/>
  <c r="W215" i="50"/>
  <c r="U215" i="50"/>
  <c r="X215" i="50"/>
  <c r="V215" i="50"/>
  <c r="T215" i="50"/>
  <c r="P215" i="50"/>
  <c r="N215" i="50"/>
  <c r="Q215" i="50"/>
  <c r="O215" i="50"/>
  <c r="M215" i="50"/>
  <c r="I215" i="50"/>
  <c r="G215" i="50"/>
  <c r="J215" i="50"/>
  <c r="H215" i="50"/>
  <c r="F215" i="50"/>
  <c r="G231" i="50" l="1"/>
  <c r="G253" i="50" s="1"/>
  <c r="H253" i="50" s="1"/>
  <c r="H251" i="50"/>
  <c r="G273" i="50"/>
  <c r="T271" i="50"/>
  <c r="T275" i="50"/>
  <c r="M271" i="50"/>
  <c r="M275" i="50"/>
  <c r="T270" i="50"/>
  <c r="T274" i="50"/>
  <c r="M270" i="50"/>
  <c r="M274" i="50"/>
  <c r="T267" i="50"/>
  <c r="T272" i="50"/>
  <c r="M267" i="50"/>
  <c r="U247" i="50"/>
  <c r="T269" i="50"/>
  <c r="U251" i="50"/>
  <c r="T273" i="50"/>
  <c r="N247" i="50"/>
  <c r="M269" i="50"/>
  <c r="N251" i="50"/>
  <c r="M273" i="50"/>
  <c r="M272" i="50"/>
  <c r="F272" i="50"/>
  <c r="F276" i="50"/>
  <c r="H221" i="50"/>
  <c r="U221" i="50"/>
  <c r="U231" i="50"/>
  <c r="U253" i="50" s="1"/>
  <c r="N227" i="50"/>
  <c r="N249" i="50" s="1"/>
  <c r="G230" i="50"/>
  <c r="G252" i="50" s="1"/>
  <c r="U220" i="50"/>
  <c r="U230" i="50"/>
  <c r="U252" i="50" s="1"/>
  <c r="N220" i="50"/>
  <c r="N230" i="50"/>
  <c r="N252" i="50" s="1"/>
  <c r="G234" i="50"/>
  <c r="U223" i="50"/>
  <c r="U245" i="50" s="1"/>
  <c r="N218" i="50"/>
  <c r="N232" i="50"/>
  <c r="I231" i="50"/>
  <c r="N228" i="50"/>
  <c r="N250" i="50" s="1"/>
  <c r="G220" i="50"/>
  <c r="G218" i="50"/>
  <c r="G228" i="50"/>
  <c r="G250" i="50" s="1"/>
  <c r="H219" i="50"/>
  <c r="U227" i="50"/>
  <c r="U249" i="50" s="1"/>
  <c r="N221" i="50"/>
  <c r="N231" i="50"/>
  <c r="N253" i="50" s="1"/>
  <c r="G227" i="50"/>
  <c r="G249" i="50" s="1"/>
  <c r="U226" i="50"/>
  <c r="U248" i="50" s="1"/>
  <c r="U234" i="50"/>
  <c r="N226" i="50"/>
  <c r="N248" i="50" s="1"/>
  <c r="N234" i="50"/>
  <c r="U218" i="50"/>
  <c r="U228" i="50"/>
  <c r="U250" i="50" s="1"/>
  <c r="N223" i="50"/>
  <c r="N245" i="50" s="1"/>
  <c r="I229" i="50"/>
  <c r="H214" i="50"/>
  <c r="G226" i="50"/>
  <c r="G248" i="50" s="1"/>
  <c r="G225" i="50"/>
  <c r="G247" i="50" s="1"/>
  <c r="U232" i="50"/>
  <c r="V214" i="50"/>
  <c r="G233" i="50"/>
  <c r="G255" i="50" s="1"/>
  <c r="G223" i="50"/>
  <c r="G245" i="50" s="1"/>
  <c r="G232" i="50"/>
  <c r="G254" i="50" s="1"/>
  <c r="T154" i="62"/>
  <c r="S154" i="62"/>
  <c r="L154" i="62"/>
  <c r="E154" i="62"/>
  <c r="Y110" i="62"/>
  <c r="X110" i="62"/>
  <c r="W110" i="62"/>
  <c r="V110" i="62"/>
  <c r="U110" i="62"/>
  <c r="T110" i="62"/>
  <c r="S110" i="62"/>
  <c r="R110" i="62"/>
  <c r="Q110" i="62"/>
  <c r="P110" i="62"/>
  <c r="O110" i="62"/>
  <c r="N110" i="62"/>
  <c r="M110" i="62"/>
  <c r="L110" i="62"/>
  <c r="K110" i="62"/>
  <c r="J110" i="62"/>
  <c r="I110" i="62"/>
  <c r="H110" i="62"/>
  <c r="G110" i="62"/>
  <c r="G275" i="50" l="1"/>
  <c r="G276" i="50"/>
  <c r="N267" i="50"/>
  <c r="N270" i="50"/>
  <c r="N275" i="50"/>
  <c r="U271" i="50"/>
  <c r="N272" i="50"/>
  <c r="U267" i="50"/>
  <c r="N274" i="50"/>
  <c r="U274" i="50"/>
  <c r="N271" i="50"/>
  <c r="U275" i="50"/>
  <c r="U272" i="50"/>
  <c r="U270" i="50"/>
  <c r="G272" i="50"/>
  <c r="G277" i="50"/>
  <c r="G271" i="50"/>
  <c r="H275" i="50"/>
  <c r="I253" i="50"/>
  <c r="G267" i="50"/>
  <c r="G269" i="50"/>
  <c r="G270" i="50"/>
  <c r="G274" i="50"/>
  <c r="N273" i="50"/>
  <c r="O251" i="50"/>
  <c r="N269" i="50"/>
  <c r="O247" i="50"/>
  <c r="U273" i="50"/>
  <c r="V251" i="50"/>
  <c r="U269" i="50"/>
  <c r="V247" i="50"/>
  <c r="I251" i="50"/>
  <c r="H273" i="50"/>
  <c r="H226" i="50"/>
  <c r="H248" i="50" s="1"/>
  <c r="I219" i="50"/>
  <c r="H218" i="50"/>
  <c r="H230" i="50"/>
  <c r="H252" i="50" s="1"/>
  <c r="H223" i="50"/>
  <c r="H245" i="50" s="1"/>
  <c r="H233" i="50"/>
  <c r="H255" i="50" s="1"/>
  <c r="V232" i="50"/>
  <c r="J229" i="50"/>
  <c r="K229" i="50"/>
  <c r="V228" i="50"/>
  <c r="V250" i="50" s="1"/>
  <c r="O234" i="50"/>
  <c r="V234" i="50"/>
  <c r="H227" i="50"/>
  <c r="H249" i="50" s="1"/>
  <c r="O221" i="50"/>
  <c r="O228" i="50"/>
  <c r="O250" i="50" s="1"/>
  <c r="O232" i="50"/>
  <c r="V223" i="50"/>
  <c r="V245" i="50" s="1"/>
  <c r="O230" i="50"/>
  <c r="O252" i="50" s="1"/>
  <c r="V230" i="50"/>
  <c r="V252" i="50" s="1"/>
  <c r="V231" i="50"/>
  <c r="V253" i="50" s="1"/>
  <c r="I221" i="50"/>
  <c r="H225" i="50"/>
  <c r="H247" i="50" s="1"/>
  <c r="H228" i="50"/>
  <c r="H250" i="50" s="1"/>
  <c r="H220" i="50"/>
  <c r="H232" i="50"/>
  <c r="H254" i="50" s="1"/>
  <c r="W214" i="50"/>
  <c r="I214" i="50"/>
  <c r="O223" i="50"/>
  <c r="O245" i="50" s="1"/>
  <c r="V218" i="50"/>
  <c r="O226" i="50"/>
  <c r="O248" i="50" s="1"/>
  <c r="V226" i="50"/>
  <c r="V248" i="50" s="1"/>
  <c r="O231" i="50"/>
  <c r="O253" i="50" s="1"/>
  <c r="V227" i="50"/>
  <c r="V249" i="50" s="1"/>
  <c r="J231" i="50"/>
  <c r="K231" i="50"/>
  <c r="O218" i="50"/>
  <c r="H234" i="50"/>
  <c r="O220" i="50"/>
  <c r="V220" i="50"/>
  <c r="O227" i="50"/>
  <c r="O249" i="50" s="1"/>
  <c r="V221" i="50"/>
  <c r="V154" i="62"/>
  <c r="N154" i="62"/>
  <c r="M154" i="62"/>
  <c r="G154" i="62"/>
  <c r="O154" i="62"/>
  <c r="U154" i="62"/>
  <c r="V271" i="50" l="1"/>
  <c r="V270" i="50"/>
  <c r="O267" i="50"/>
  <c r="H272" i="50"/>
  <c r="V274" i="50"/>
  <c r="O274" i="50"/>
  <c r="V267" i="50"/>
  <c r="O272" i="50"/>
  <c r="V272" i="50"/>
  <c r="H267" i="50"/>
  <c r="H274" i="50"/>
  <c r="H270" i="50"/>
  <c r="O271" i="50"/>
  <c r="O275" i="50"/>
  <c r="O270" i="50"/>
  <c r="H276" i="50"/>
  <c r="V275" i="50"/>
  <c r="H269" i="50"/>
  <c r="H271" i="50"/>
  <c r="H277" i="50"/>
  <c r="V269" i="50"/>
  <c r="W247" i="50"/>
  <c r="V273" i="50"/>
  <c r="W251" i="50"/>
  <c r="P247" i="50"/>
  <c r="O269" i="50"/>
  <c r="P251" i="50"/>
  <c r="O273" i="50"/>
  <c r="J253" i="50"/>
  <c r="I275" i="50"/>
  <c r="J251" i="50"/>
  <c r="I273" i="50"/>
  <c r="I227" i="50"/>
  <c r="I249" i="50" s="1"/>
  <c r="I233" i="50"/>
  <c r="I255" i="50" s="1"/>
  <c r="P227" i="50"/>
  <c r="P249" i="50" s="1"/>
  <c r="P220" i="50"/>
  <c r="P218" i="50"/>
  <c r="W227" i="50"/>
  <c r="W249" i="50" s="1"/>
  <c r="W226" i="50"/>
  <c r="W248" i="50" s="1"/>
  <c r="W218" i="50"/>
  <c r="J214" i="50"/>
  <c r="K214" i="50"/>
  <c r="I232" i="50"/>
  <c r="I254" i="50" s="1"/>
  <c r="I228" i="50"/>
  <c r="I250" i="50" s="1"/>
  <c r="J221" i="50"/>
  <c r="K221" i="50"/>
  <c r="W230" i="50"/>
  <c r="W252" i="50" s="1"/>
  <c r="W223" i="50"/>
  <c r="W245" i="50" s="1"/>
  <c r="P228" i="50"/>
  <c r="P250" i="50" s="1"/>
  <c r="P234" i="50"/>
  <c r="I230" i="50"/>
  <c r="I252" i="50" s="1"/>
  <c r="J219" i="50"/>
  <c r="K219" i="50"/>
  <c r="I225" i="50"/>
  <c r="I247" i="50" s="1"/>
  <c r="W221" i="50"/>
  <c r="W220" i="50"/>
  <c r="I234" i="50"/>
  <c r="P231" i="50"/>
  <c r="P253" i="50" s="1"/>
  <c r="P226" i="50"/>
  <c r="P248" i="50" s="1"/>
  <c r="P223" i="50"/>
  <c r="P245" i="50" s="1"/>
  <c r="Y214" i="50"/>
  <c r="X214" i="50"/>
  <c r="I220" i="50"/>
  <c r="W231" i="50"/>
  <c r="W253" i="50" s="1"/>
  <c r="P230" i="50"/>
  <c r="P252" i="50" s="1"/>
  <c r="P232" i="50"/>
  <c r="P221" i="50"/>
  <c r="W234" i="50"/>
  <c r="W228" i="50"/>
  <c r="W250" i="50" s="1"/>
  <c r="W232" i="50"/>
  <c r="I223" i="50"/>
  <c r="I245" i="50" s="1"/>
  <c r="I218" i="50"/>
  <c r="I226" i="50"/>
  <c r="I248" i="50" s="1"/>
  <c r="C16" i="16"/>
  <c r="I270" i="50" l="1"/>
  <c r="I267" i="50"/>
  <c r="W275" i="50"/>
  <c r="P267" i="50"/>
  <c r="P275" i="50"/>
  <c r="P272" i="50"/>
  <c r="W274" i="50"/>
  <c r="I272" i="50"/>
  <c r="I276" i="50"/>
  <c r="W271" i="50"/>
  <c r="P271" i="50"/>
  <c r="I277" i="50"/>
  <c r="I271" i="50"/>
  <c r="W272" i="50"/>
  <c r="P274" i="50"/>
  <c r="P270" i="50"/>
  <c r="I269" i="50"/>
  <c r="I274" i="50"/>
  <c r="W267" i="50"/>
  <c r="W270" i="50"/>
  <c r="X251" i="50"/>
  <c r="W273" i="50"/>
  <c r="X247" i="50"/>
  <c r="W269" i="50"/>
  <c r="J273" i="50"/>
  <c r="K251" i="50"/>
  <c r="K273" i="50" s="1"/>
  <c r="J275" i="50"/>
  <c r="K253" i="50"/>
  <c r="K275" i="50" s="1"/>
  <c r="Q251" i="50"/>
  <c r="P273" i="50"/>
  <c r="Q247" i="50"/>
  <c r="P269" i="50"/>
  <c r="R226" i="50"/>
  <c r="Q226" i="50"/>
  <c r="Q248" i="50" s="1"/>
  <c r="J234" i="50"/>
  <c r="K234" i="50"/>
  <c r="Y221" i="50"/>
  <c r="X221" i="50"/>
  <c r="J232" i="50"/>
  <c r="J254" i="50" s="1"/>
  <c r="K232" i="50"/>
  <c r="Y218" i="50"/>
  <c r="X218" i="50"/>
  <c r="Y227" i="50"/>
  <c r="X227" i="50"/>
  <c r="X249" i="50" s="1"/>
  <c r="R220" i="50"/>
  <c r="Q220" i="50"/>
  <c r="J233" i="50"/>
  <c r="J255" i="50" s="1"/>
  <c r="K233" i="50"/>
  <c r="J218" i="50"/>
  <c r="K218" i="50"/>
  <c r="Y232" i="50"/>
  <c r="X232" i="50"/>
  <c r="Y234" i="50"/>
  <c r="X234" i="50"/>
  <c r="R232" i="50"/>
  <c r="Q232" i="50"/>
  <c r="Y231" i="50"/>
  <c r="X231" i="50"/>
  <c r="X253" i="50" s="1"/>
  <c r="R234" i="50"/>
  <c r="Q234" i="50"/>
  <c r="Y223" i="50"/>
  <c r="X223" i="50"/>
  <c r="X245" i="50" s="1"/>
  <c r="J226" i="50"/>
  <c r="J248" i="50" s="1"/>
  <c r="K226" i="50"/>
  <c r="J223" i="50"/>
  <c r="J245" i="50" s="1"/>
  <c r="K223" i="50"/>
  <c r="Y228" i="50"/>
  <c r="X228" i="50"/>
  <c r="X250" i="50" s="1"/>
  <c r="R221" i="50"/>
  <c r="Q221" i="50"/>
  <c r="R230" i="50"/>
  <c r="Q230" i="50"/>
  <c r="Q252" i="50" s="1"/>
  <c r="J220" i="50"/>
  <c r="K220" i="50"/>
  <c r="R223" i="50"/>
  <c r="Q223" i="50"/>
  <c r="Q245" i="50" s="1"/>
  <c r="R231" i="50"/>
  <c r="Q231" i="50"/>
  <c r="Q253" i="50" s="1"/>
  <c r="Y220" i="50"/>
  <c r="X220" i="50"/>
  <c r="J225" i="50"/>
  <c r="J247" i="50" s="1"/>
  <c r="K225" i="50"/>
  <c r="J230" i="50"/>
  <c r="J252" i="50" s="1"/>
  <c r="K230" i="50"/>
  <c r="R228" i="50"/>
  <c r="Q228" i="50"/>
  <c r="Q250" i="50" s="1"/>
  <c r="Y230" i="50"/>
  <c r="X230" i="50"/>
  <c r="X252" i="50" s="1"/>
  <c r="J228" i="50"/>
  <c r="J250" i="50" s="1"/>
  <c r="K228" i="50"/>
  <c r="Y226" i="50"/>
  <c r="X226" i="50"/>
  <c r="X248" i="50" s="1"/>
  <c r="R218" i="50"/>
  <c r="Q218" i="50"/>
  <c r="R227" i="50"/>
  <c r="Q227" i="50"/>
  <c r="Q249" i="50" s="1"/>
  <c r="J227" i="50"/>
  <c r="J249" i="50" s="1"/>
  <c r="K227" i="50"/>
  <c r="W154" i="62"/>
  <c r="P154" i="62"/>
  <c r="H154" i="62"/>
  <c r="I154" i="62"/>
  <c r="E107" i="51"/>
  <c r="E106" i="51"/>
  <c r="E105" i="51"/>
  <c r="E104" i="51"/>
  <c r="E103" i="51"/>
  <c r="E102" i="51"/>
  <c r="E100" i="51"/>
  <c r="E99" i="51"/>
  <c r="E97" i="51"/>
  <c r="E96" i="51"/>
  <c r="E95" i="51"/>
  <c r="E94" i="51"/>
  <c r="E92" i="51"/>
  <c r="E90" i="51"/>
  <c r="E89" i="51"/>
  <c r="E88" i="51"/>
  <c r="E87" i="51"/>
  <c r="E86" i="51"/>
  <c r="E85" i="51"/>
  <c r="E84" i="51"/>
  <c r="E83" i="51"/>
  <c r="E81" i="51"/>
  <c r="E80" i="51"/>
  <c r="E77" i="51"/>
  <c r="E76" i="51"/>
  <c r="E75" i="51"/>
  <c r="E74" i="51"/>
  <c r="E72" i="51"/>
  <c r="E71" i="51"/>
  <c r="E69" i="51"/>
  <c r="E68" i="51"/>
  <c r="E67" i="51"/>
  <c r="E65" i="51"/>
  <c r="E64" i="51"/>
  <c r="E62" i="51"/>
  <c r="E61" i="51"/>
  <c r="E82" i="51" l="1"/>
  <c r="E98" i="51"/>
  <c r="R249" i="50"/>
  <c r="R271" i="50" s="1"/>
  <c r="Q271" i="50"/>
  <c r="X270" i="50"/>
  <c r="Y248" i="50"/>
  <c r="Y270" i="50" s="1"/>
  <c r="X274" i="50"/>
  <c r="Y252" i="50"/>
  <c r="Y274" i="50" s="1"/>
  <c r="R250" i="50"/>
  <c r="R272" i="50" s="1"/>
  <c r="Q272" i="50"/>
  <c r="R253" i="50"/>
  <c r="R275" i="50" s="1"/>
  <c r="Q275" i="50"/>
  <c r="R245" i="50"/>
  <c r="R267" i="50" s="1"/>
  <c r="Q267" i="50"/>
  <c r="R252" i="50"/>
  <c r="R274" i="50" s="1"/>
  <c r="Q274" i="50"/>
  <c r="X272" i="50"/>
  <c r="Y250" i="50"/>
  <c r="Y272" i="50" s="1"/>
  <c r="X267" i="50"/>
  <c r="Y245" i="50"/>
  <c r="Y267" i="50" s="1"/>
  <c r="X275" i="50"/>
  <c r="Y253" i="50"/>
  <c r="Y275" i="50" s="1"/>
  <c r="X271" i="50"/>
  <c r="Y249" i="50"/>
  <c r="Y271" i="50" s="1"/>
  <c r="R248" i="50"/>
  <c r="R270" i="50" s="1"/>
  <c r="Q270" i="50"/>
  <c r="J271" i="50"/>
  <c r="K249" i="50"/>
  <c r="K271" i="50" s="1"/>
  <c r="J272" i="50"/>
  <c r="K250" i="50"/>
  <c r="K272" i="50" s="1"/>
  <c r="J274" i="50"/>
  <c r="K252" i="50"/>
  <c r="K274" i="50" s="1"/>
  <c r="J269" i="50"/>
  <c r="K247" i="50"/>
  <c r="K269" i="50" s="1"/>
  <c r="J267" i="50"/>
  <c r="K245" i="50"/>
  <c r="K267" i="50" s="1"/>
  <c r="J270" i="50"/>
  <c r="K248" i="50"/>
  <c r="K270" i="50" s="1"/>
  <c r="J277" i="50"/>
  <c r="K255" i="50"/>
  <c r="K277" i="50" s="1"/>
  <c r="J276" i="50"/>
  <c r="K254" i="50"/>
  <c r="K276" i="50" s="1"/>
  <c r="R247" i="50"/>
  <c r="R269" i="50" s="1"/>
  <c r="Q269" i="50"/>
  <c r="R251" i="50"/>
  <c r="R273" i="50" s="1"/>
  <c r="Q273" i="50"/>
  <c r="X269" i="50"/>
  <c r="Y247" i="50"/>
  <c r="Y269" i="50" s="1"/>
  <c r="X273" i="50"/>
  <c r="Y251" i="50"/>
  <c r="Y273" i="50" s="1"/>
  <c r="X154" i="62"/>
  <c r="Q154" i="62"/>
  <c r="Q48" i="53"/>
  <c r="J48" i="53"/>
  <c r="C48" i="53"/>
  <c r="Y154" i="62" l="1"/>
  <c r="R154" i="62"/>
  <c r="J154" i="62"/>
  <c r="K154" i="62"/>
  <c r="O48" i="53"/>
  <c r="M48" i="53"/>
  <c r="U48" i="53"/>
  <c r="T48" i="53"/>
  <c r="V48" i="53"/>
  <c r="S48" i="53"/>
  <c r="W48" i="53"/>
  <c r="P48" i="53"/>
  <c r="N48" i="53"/>
  <c r="L48" i="53"/>
  <c r="I48" i="53"/>
  <c r="G48" i="53"/>
  <c r="E48" i="53"/>
  <c r="H48" i="53"/>
  <c r="F48" i="53"/>
  <c r="E28" i="58" l="1"/>
  <c r="F28" i="58"/>
  <c r="G28" i="58"/>
  <c r="H28" i="58"/>
  <c r="I28" i="58"/>
  <c r="J28" i="58"/>
  <c r="D28" i="58"/>
  <c r="R8" i="22" l="1"/>
  <c r="Q8" i="22"/>
  <c r="P8" i="22"/>
  <c r="O8" i="22"/>
  <c r="N8" i="22"/>
  <c r="M8" i="22"/>
  <c r="L8" i="22"/>
  <c r="K8" i="22"/>
  <c r="J8" i="22"/>
  <c r="I8" i="22"/>
  <c r="H8" i="22"/>
  <c r="G8" i="22"/>
  <c r="F8" i="22"/>
  <c r="E8" i="22"/>
  <c r="D8" i="22"/>
  <c r="I9" i="49"/>
  <c r="H9" i="49"/>
  <c r="G9" i="49"/>
  <c r="F9" i="49"/>
  <c r="E9" i="49"/>
  <c r="D9" i="49"/>
  <c r="C9" i="49"/>
  <c r="H6" i="48"/>
  <c r="G6" i="48"/>
  <c r="F6" i="48"/>
  <c r="E6" i="48"/>
  <c r="D6" i="48"/>
  <c r="H6" i="47"/>
  <c r="G6" i="47"/>
  <c r="F6" i="47"/>
  <c r="E6" i="47"/>
  <c r="D6" i="47"/>
  <c r="J8" i="58"/>
  <c r="I8" i="58"/>
  <c r="H8" i="58"/>
  <c r="G8" i="58"/>
  <c r="F8" i="58"/>
  <c r="E8" i="58"/>
  <c r="D8" i="58"/>
  <c r="J8" i="65" l="1"/>
  <c r="I8" i="65"/>
  <c r="H8" i="65"/>
  <c r="G8" i="65"/>
  <c r="F8" i="65"/>
  <c r="E8" i="65"/>
  <c r="D8" i="65"/>
  <c r="G57" i="65"/>
  <c r="N15" i="17" s="1"/>
  <c r="H57" i="65"/>
  <c r="O15" i="17" s="1"/>
  <c r="I57" i="65"/>
  <c r="P15" i="17" s="1"/>
  <c r="J57" i="65"/>
  <c r="Q15" i="17" s="1"/>
  <c r="F57" i="65"/>
  <c r="M15" i="17" s="1"/>
  <c r="E55" i="65"/>
  <c r="L14" i="17" s="1"/>
  <c r="F55" i="65"/>
  <c r="M14" i="17" s="1"/>
  <c r="G55" i="65"/>
  <c r="N14" i="17" s="1"/>
  <c r="H55" i="65"/>
  <c r="O14" i="17" s="1"/>
  <c r="I55" i="65"/>
  <c r="P14" i="17" s="1"/>
  <c r="J55" i="65"/>
  <c r="Q14" i="17" s="1"/>
  <c r="D55" i="65"/>
  <c r="K14" i="17" s="1"/>
  <c r="J67" i="65"/>
  <c r="I67" i="65"/>
  <c r="H67" i="65"/>
  <c r="G67" i="65"/>
  <c r="F67" i="65"/>
  <c r="E67" i="65"/>
  <c r="S15" i="17" s="1"/>
  <c r="D67" i="65"/>
  <c r="R15" i="17" s="1"/>
  <c r="J65" i="65"/>
  <c r="X14" i="17" s="1"/>
  <c r="I65" i="65"/>
  <c r="W14" i="17" s="1"/>
  <c r="H65" i="65"/>
  <c r="V14" i="17" s="1"/>
  <c r="G65" i="65"/>
  <c r="U14" i="17" s="1"/>
  <c r="F65" i="65"/>
  <c r="T14" i="17" s="1"/>
  <c r="E65" i="65"/>
  <c r="S14" i="17" s="1"/>
  <c r="D65" i="65"/>
  <c r="R14" i="17" s="1"/>
  <c r="L15" i="17"/>
  <c r="K15" i="17"/>
  <c r="J42" i="65"/>
  <c r="I42" i="65"/>
  <c r="H42" i="65"/>
  <c r="G42" i="65"/>
  <c r="F42" i="65"/>
  <c r="E42" i="65"/>
  <c r="D42" i="65"/>
  <c r="J38" i="65"/>
  <c r="I38" i="65"/>
  <c r="H38" i="65"/>
  <c r="G38" i="65"/>
  <c r="F38" i="65"/>
  <c r="E38" i="65"/>
  <c r="D38" i="65"/>
  <c r="J31" i="65"/>
  <c r="I31" i="65"/>
  <c r="H31" i="65"/>
  <c r="G31" i="65"/>
  <c r="F31" i="65"/>
  <c r="E31" i="65"/>
  <c r="D31" i="65"/>
  <c r="J27" i="65"/>
  <c r="I27" i="65"/>
  <c r="H27" i="65"/>
  <c r="G27" i="65"/>
  <c r="F27" i="65"/>
  <c r="E27" i="65"/>
  <c r="D27" i="65"/>
  <c r="J23" i="65"/>
  <c r="I23" i="65"/>
  <c r="H23" i="65"/>
  <c r="G23" i="65"/>
  <c r="F23" i="65"/>
  <c r="E23" i="65"/>
  <c r="D23" i="65"/>
  <c r="S13" i="17" l="1"/>
  <c r="T15" i="17"/>
  <c r="F63" i="65"/>
  <c r="X15" i="17"/>
  <c r="J63" i="65"/>
  <c r="U15" i="17"/>
  <c r="G63" i="65"/>
  <c r="V15" i="17"/>
  <c r="H63" i="65"/>
  <c r="W15" i="17"/>
  <c r="I63" i="65"/>
  <c r="R13" i="17"/>
  <c r="K13" i="17"/>
  <c r="L13" i="17"/>
  <c r="G21" i="65"/>
  <c r="H62" i="1" s="1"/>
  <c r="F35" i="65"/>
  <c r="F37" i="65" s="1"/>
  <c r="D35" i="65"/>
  <c r="D37" i="65" s="1"/>
  <c r="J53" i="65"/>
  <c r="P99" i="53" s="1"/>
  <c r="F53" i="65"/>
  <c r="L99" i="53" s="1"/>
  <c r="G53" i="65"/>
  <c r="J39" i="65"/>
  <c r="J35" i="65"/>
  <c r="J37" i="65" s="1"/>
  <c r="D43" i="65"/>
  <c r="I32" i="65"/>
  <c r="F21" i="65"/>
  <c r="G62" i="1" s="1"/>
  <c r="J21" i="65"/>
  <c r="K62" i="1" s="1"/>
  <c r="H35" i="65"/>
  <c r="H37" i="65" s="1"/>
  <c r="H32" i="65"/>
  <c r="E63" i="65"/>
  <c r="I43" i="65"/>
  <c r="D63" i="65"/>
  <c r="D21" i="65"/>
  <c r="E62" i="1" s="1"/>
  <c r="H21" i="65"/>
  <c r="I62" i="1" s="1"/>
  <c r="E21" i="65"/>
  <c r="I21" i="65"/>
  <c r="J62" i="1" s="1"/>
  <c r="D53" i="65"/>
  <c r="J99" i="53" s="1"/>
  <c r="H53" i="65"/>
  <c r="E53" i="65"/>
  <c r="K99" i="53" s="1"/>
  <c r="I53" i="65"/>
  <c r="O99" i="53" s="1"/>
  <c r="J43" i="65"/>
  <c r="E35" i="65"/>
  <c r="E37" i="65" s="1"/>
  <c r="I35" i="65"/>
  <c r="I37" i="65" s="1"/>
  <c r="G35" i="65"/>
  <c r="G37" i="65" s="1"/>
  <c r="D48" i="65" l="1"/>
  <c r="D12" i="17" s="1"/>
  <c r="G64" i="65"/>
  <c r="G22" i="65"/>
  <c r="H19" i="65"/>
  <c r="H20" i="65" s="1"/>
  <c r="J64" i="65"/>
  <c r="F64" i="65"/>
  <c r="H64" i="65"/>
  <c r="G19" i="65"/>
  <c r="G20" i="65" s="1"/>
  <c r="G54" i="65"/>
  <c r="M99" i="53"/>
  <c r="H54" i="65"/>
  <c r="N99" i="53"/>
  <c r="D50" i="65"/>
  <c r="I19" i="65"/>
  <c r="I20" i="65" s="1"/>
  <c r="H48" i="65"/>
  <c r="H12" i="17" s="1"/>
  <c r="J48" i="65"/>
  <c r="J49" i="65" s="1"/>
  <c r="J54" i="65"/>
  <c r="F48" i="65"/>
  <c r="F12" i="17" s="1"/>
  <c r="E64" i="65"/>
  <c r="F62" i="1"/>
  <c r="F19" i="65"/>
  <c r="F20" i="65" s="1"/>
  <c r="I61" i="1"/>
  <c r="K61" i="1"/>
  <c r="J61" i="1"/>
  <c r="D32" i="65"/>
  <c r="E61" i="1"/>
  <c r="D51" i="65"/>
  <c r="F32" i="65"/>
  <c r="G61" i="1"/>
  <c r="I39" i="65"/>
  <c r="J32" i="65"/>
  <c r="E32" i="65"/>
  <c r="F61" i="1"/>
  <c r="H61" i="1"/>
  <c r="F54" i="65"/>
  <c r="F22" i="65"/>
  <c r="F36" i="65"/>
  <c r="D36" i="65"/>
  <c r="J19" i="65"/>
  <c r="F39" i="65"/>
  <c r="I54" i="65"/>
  <c r="H39" i="65"/>
  <c r="F43" i="65"/>
  <c r="D54" i="65"/>
  <c r="G39" i="65"/>
  <c r="G32" i="65"/>
  <c r="E39" i="65"/>
  <c r="G43" i="65"/>
  <c r="E43" i="65"/>
  <c r="H22" i="65"/>
  <c r="H43" i="65"/>
  <c r="J36" i="65"/>
  <c r="H36" i="65"/>
  <c r="J22" i="65"/>
  <c r="D39" i="65"/>
  <c r="E54" i="65"/>
  <c r="I64" i="65"/>
  <c r="D22" i="65"/>
  <c r="I22" i="65"/>
  <c r="D64" i="65"/>
  <c r="D19" i="65"/>
  <c r="E19" i="65"/>
  <c r="E22" i="65"/>
  <c r="I48" i="65"/>
  <c r="I12" i="17" s="1"/>
  <c r="I36" i="65"/>
  <c r="E48" i="65"/>
  <c r="E12" i="17" s="1"/>
  <c r="E36" i="65"/>
  <c r="G36" i="65"/>
  <c r="G48" i="65"/>
  <c r="D49" i="65" l="1"/>
  <c r="E63" i="1"/>
  <c r="E12" i="2" s="1"/>
  <c r="H49" i="65"/>
  <c r="I63" i="1"/>
  <c r="I12" i="2" s="1"/>
  <c r="H51" i="65"/>
  <c r="F51" i="65"/>
  <c r="G51" i="65"/>
  <c r="G12" i="17"/>
  <c r="H50" i="65"/>
  <c r="J50" i="65"/>
  <c r="J12" i="17"/>
  <c r="I13" i="2"/>
  <c r="K63" i="1"/>
  <c r="K12" i="2" s="1"/>
  <c r="J51" i="65"/>
  <c r="J20" i="65"/>
  <c r="I50" i="65"/>
  <c r="J63" i="1"/>
  <c r="E51" i="65"/>
  <c r="E50" i="65"/>
  <c r="G50" i="65"/>
  <c r="H63" i="1"/>
  <c r="H12" i="2" s="1"/>
  <c r="F50" i="65"/>
  <c r="I51" i="65"/>
  <c r="E13" i="2"/>
  <c r="F49" i="65"/>
  <c r="G63" i="1"/>
  <c r="F63" i="1"/>
  <c r="D20" i="65"/>
  <c r="E20" i="65"/>
  <c r="G49" i="65"/>
  <c r="E49" i="65"/>
  <c r="I49" i="65"/>
  <c r="F13" i="2" l="1"/>
  <c r="F12" i="2"/>
  <c r="G13" i="2"/>
  <c r="G12" i="2"/>
  <c r="H13" i="2"/>
  <c r="K13" i="2"/>
  <c r="J13" i="2"/>
  <c r="J12" i="2"/>
  <c r="M255" i="50"/>
  <c r="M277" i="50" s="1"/>
  <c r="AF26" i="51"/>
  <c r="AE26" i="51"/>
  <c r="AD26" i="51"/>
  <c r="AC26" i="51"/>
  <c r="AB26" i="51"/>
  <c r="AA26" i="51"/>
  <c r="Z26" i="51"/>
  <c r="Y26" i="51"/>
  <c r="X26" i="51"/>
  <c r="W26" i="51"/>
  <c r="V26" i="51"/>
  <c r="U26" i="51"/>
  <c r="T26" i="51"/>
  <c r="S26" i="51"/>
  <c r="R26" i="51"/>
  <c r="Q26" i="51"/>
  <c r="P26" i="51"/>
  <c r="O26" i="51"/>
  <c r="N26" i="51"/>
  <c r="M26" i="51"/>
  <c r="L26" i="51"/>
  <c r="K26" i="51"/>
  <c r="J26" i="51"/>
  <c r="I26" i="51"/>
  <c r="H26" i="51"/>
  <c r="G26" i="51"/>
  <c r="F26" i="51"/>
  <c r="E26" i="51"/>
  <c r="T76" i="62"/>
  <c r="U76" i="62" s="1"/>
  <c r="V76" i="62" s="1"/>
  <c r="W76" i="62" s="1"/>
  <c r="X76" i="62" s="1"/>
  <c r="Y76" i="62" s="1"/>
  <c r="M76" i="62"/>
  <c r="N76" i="62" s="1"/>
  <c r="O76" i="62" s="1"/>
  <c r="P76" i="62" s="1"/>
  <c r="Q76" i="62" s="1"/>
  <c r="R76" i="62" s="1"/>
  <c r="F76" i="62"/>
  <c r="G76" i="62" s="1"/>
  <c r="H76" i="62" s="1"/>
  <c r="I76" i="62" s="1"/>
  <c r="J76" i="62" s="1"/>
  <c r="K76" i="62" s="1"/>
  <c r="F240" i="50"/>
  <c r="G240" i="50" s="1"/>
  <c r="M240" i="50"/>
  <c r="M262" i="50" s="1"/>
  <c r="T240" i="50"/>
  <c r="U240" i="50" s="1"/>
  <c r="F241" i="50"/>
  <c r="G241" i="50" s="1"/>
  <c r="M241" i="50"/>
  <c r="N241" i="50" s="1"/>
  <c r="T241" i="50"/>
  <c r="T263" i="50" s="1"/>
  <c r="F242" i="50"/>
  <c r="G242" i="50" s="1"/>
  <c r="M242" i="50"/>
  <c r="N242" i="50" s="1"/>
  <c r="T242" i="50"/>
  <c r="U242" i="50" s="1"/>
  <c r="F265" i="50"/>
  <c r="M243" i="50"/>
  <c r="M265" i="50" s="1"/>
  <c r="T243" i="50"/>
  <c r="U243" i="50" s="1"/>
  <c r="F262" i="50" l="1"/>
  <c r="M264" i="50"/>
  <c r="F263" i="50"/>
  <c r="T262" i="50"/>
  <c r="T264" i="50"/>
  <c r="T265" i="50"/>
  <c r="M263" i="50"/>
  <c r="F264" i="50"/>
  <c r="G243" i="50"/>
  <c r="G265" i="50" s="1"/>
  <c r="N240" i="50"/>
  <c r="N262" i="50" s="1"/>
  <c r="U241" i="50"/>
  <c r="V241" i="50" s="1"/>
  <c r="N243" i="50"/>
  <c r="O243" i="50" s="1"/>
  <c r="N255" i="50"/>
  <c r="N277" i="50" s="1"/>
  <c r="V243" i="50"/>
  <c r="U265" i="50"/>
  <c r="O242" i="50"/>
  <c r="N264" i="50"/>
  <c r="H241" i="50"/>
  <c r="G263" i="50"/>
  <c r="V242" i="50"/>
  <c r="U264" i="50"/>
  <c r="H242" i="50"/>
  <c r="G264" i="50"/>
  <c r="O241" i="50"/>
  <c r="N263" i="50"/>
  <c r="V240" i="50"/>
  <c r="U262" i="50"/>
  <c r="H240" i="50"/>
  <c r="G262" i="50"/>
  <c r="U263" i="50" l="1"/>
  <c r="O240" i="50"/>
  <c r="O262" i="50" s="1"/>
  <c r="N265" i="50"/>
  <c r="H243" i="50"/>
  <c r="H265" i="50" s="1"/>
  <c r="O255" i="50"/>
  <c r="O277" i="50" s="1"/>
  <c r="H262" i="50"/>
  <c r="I240" i="50"/>
  <c r="V262" i="50"/>
  <c r="W240" i="50"/>
  <c r="O263" i="50"/>
  <c r="P241" i="50"/>
  <c r="H264" i="50"/>
  <c r="I242" i="50"/>
  <c r="V264" i="50"/>
  <c r="W242" i="50"/>
  <c r="O265" i="50"/>
  <c r="P243" i="50"/>
  <c r="H263" i="50"/>
  <c r="I241" i="50"/>
  <c r="V263" i="50"/>
  <c r="W241" i="50"/>
  <c r="O264" i="50"/>
  <c r="P242" i="50"/>
  <c r="V265" i="50"/>
  <c r="W243" i="50"/>
  <c r="P240" i="50" l="1"/>
  <c r="Q240" i="50" s="1"/>
  <c r="I243" i="50"/>
  <c r="J243" i="50" s="1"/>
  <c r="P255" i="50"/>
  <c r="P277" i="50" s="1"/>
  <c r="X243" i="50"/>
  <c r="W265" i="50"/>
  <c r="Q242" i="50"/>
  <c r="P264" i="50"/>
  <c r="X241" i="50"/>
  <c r="W263" i="50"/>
  <c r="J241" i="50"/>
  <c r="I263" i="50"/>
  <c r="Q243" i="50"/>
  <c r="P265" i="50"/>
  <c r="X242" i="50"/>
  <c r="W264" i="50"/>
  <c r="J242" i="50"/>
  <c r="I264" i="50"/>
  <c r="Q241" i="50"/>
  <c r="P263" i="50"/>
  <c r="X240" i="50"/>
  <c r="W262" i="50"/>
  <c r="J240" i="50"/>
  <c r="I262" i="50"/>
  <c r="P262" i="50" l="1"/>
  <c r="I265" i="50"/>
  <c r="Q255" i="50"/>
  <c r="Q277" i="50" s="1"/>
  <c r="J262" i="50"/>
  <c r="K240" i="50"/>
  <c r="K262" i="50" s="1"/>
  <c r="X262" i="50"/>
  <c r="Y240" i="50"/>
  <c r="Y262" i="50" s="1"/>
  <c r="Q263" i="50"/>
  <c r="R241" i="50"/>
  <c r="R263" i="50" s="1"/>
  <c r="J264" i="50"/>
  <c r="K242" i="50"/>
  <c r="K264" i="50" s="1"/>
  <c r="X264" i="50"/>
  <c r="Y242" i="50"/>
  <c r="Y264" i="50" s="1"/>
  <c r="Q265" i="50"/>
  <c r="R243" i="50"/>
  <c r="R265" i="50" s="1"/>
  <c r="Q262" i="50"/>
  <c r="R240" i="50"/>
  <c r="R262" i="50" s="1"/>
  <c r="J263" i="50"/>
  <c r="K241" i="50"/>
  <c r="K263" i="50" s="1"/>
  <c r="X263" i="50"/>
  <c r="Y241" i="50"/>
  <c r="Y263" i="50" s="1"/>
  <c r="Q264" i="50"/>
  <c r="R242" i="50"/>
  <c r="R264" i="50" s="1"/>
  <c r="J265" i="50"/>
  <c r="K243" i="50"/>
  <c r="K265" i="50" s="1"/>
  <c r="X265" i="50"/>
  <c r="Y243" i="50"/>
  <c r="Y265" i="50" s="1"/>
  <c r="R255" i="50" l="1"/>
  <c r="R277" i="50" s="1"/>
  <c r="C42" i="7" l="1"/>
  <c r="C40" i="7" s="1"/>
  <c r="I41" i="7"/>
  <c r="H41" i="7"/>
  <c r="G41" i="7"/>
  <c r="F41" i="7"/>
  <c r="E41" i="7"/>
  <c r="D41" i="7"/>
  <c r="C41" i="7"/>
  <c r="J42" i="7"/>
  <c r="P41" i="7"/>
  <c r="O41" i="7"/>
  <c r="N41" i="7"/>
  <c r="M41" i="7"/>
  <c r="L41" i="7"/>
  <c r="K41" i="7"/>
  <c r="J41" i="7"/>
  <c r="Q42" i="7"/>
  <c r="W41" i="7"/>
  <c r="V41" i="7"/>
  <c r="U41" i="7"/>
  <c r="T41" i="7"/>
  <c r="S41" i="7"/>
  <c r="R41" i="7"/>
  <c r="Q41" i="7"/>
  <c r="R36" i="7"/>
  <c r="R40" i="7" s="1"/>
  <c r="K36" i="7" l="1"/>
  <c r="J40" i="7"/>
  <c r="D36" i="7"/>
  <c r="R42" i="7"/>
  <c r="S36" i="7" s="1"/>
  <c r="S40" i="7" s="1"/>
  <c r="M59" i="41"/>
  <c r="M69" i="41" s="1"/>
  <c r="N59" i="41"/>
  <c r="N69" i="41" s="1"/>
  <c r="O59" i="41"/>
  <c r="O69" i="41" s="1"/>
  <c r="P59" i="41"/>
  <c r="P69" i="41" s="1"/>
  <c r="Q59" i="41"/>
  <c r="Q69" i="41" s="1"/>
  <c r="R59" i="41"/>
  <c r="R69" i="41" s="1"/>
  <c r="S59" i="41"/>
  <c r="S69" i="41" s="1"/>
  <c r="T59" i="41"/>
  <c r="T69" i="41" s="1"/>
  <c r="U59" i="41"/>
  <c r="U69" i="41" s="1"/>
  <c r="V59" i="41"/>
  <c r="V69" i="41" s="1"/>
  <c r="W59" i="41"/>
  <c r="W69" i="41" s="1"/>
  <c r="X59" i="41"/>
  <c r="X69" i="41" s="1"/>
  <c r="Y59" i="41"/>
  <c r="Y69" i="41" s="1"/>
  <c r="Z59" i="41"/>
  <c r="Z69" i="41" s="1"/>
  <c r="D37" i="39"/>
  <c r="E37" i="39"/>
  <c r="F37" i="39"/>
  <c r="G37" i="39"/>
  <c r="H37" i="39"/>
  <c r="I37" i="39"/>
  <c r="J37" i="39"/>
  <c r="Q17" i="53" s="1"/>
  <c r="J42" i="39" s="1"/>
  <c r="K37" i="39"/>
  <c r="K42" i="39" s="1"/>
  <c r="L37" i="39"/>
  <c r="M37" i="39"/>
  <c r="N37" i="39"/>
  <c r="O37" i="39"/>
  <c r="P37" i="39"/>
  <c r="C37" i="39"/>
  <c r="D25" i="39"/>
  <c r="D27" i="39" s="1"/>
  <c r="E25" i="39"/>
  <c r="E27" i="39" s="1"/>
  <c r="F25" i="39"/>
  <c r="F27" i="39" s="1"/>
  <c r="G25" i="39"/>
  <c r="G27" i="39" s="1"/>
  <c r="H25" i="39"/>
  <c r="H27" i="39" s="1"/>
  <c r="I25" i="39"/>
  <c r="I27" i="39" s="1"/>
  <c r="J25" i="39"/>
  <c r="K25" i="39"/>
  <c r="K29" i="39" s="1"/>
  <c r="L25" i="39"/>
  <c r="M25" i="39"/>
  <c r="N25" i="39"/>
  <c r="O25" i="39"/>
  <c r="P25" i="39"/>
  <c r="C25" i="39"/>
  <c r="C27" i="39" s="1"/>
  <c r="D12" i="39"/>
  <c r="E12" i="39"/>
  <c r="F12" i="39"/>
  <c r="G12" i="39"/>
  <c r="H12" i="39"/>
  <c r="I12" i="39"/>
  <c r="C12" i="39"/>
  <c r="K42" i="7" l="1"/>
  <c r="L36" i="7" s="1"/>
  <c r="L42" i="7" s="1"/>
  <c r="M36" i="7" s="1"/>
  <c r="T37" i="39"/>
  <c r="J17" i="53"/>
  <c r="M17" i="53" s="1"/>
  <c r="M29" i="39" s="1"/>
  <c r="T17" i="53"/>
  <c r="M42" i="39" s="1"/>
  <c r="S17" i="53"/>
  <c r="L42" i="39" s="1"/>
  <c r="W17" i="53"/>
  <c r="P42" i="39" s="1"/>
  <c r="V17" i="53"/>
  <c r="O42" i="39" s="1"/>
  <c r="U17" i="53"/>
  <c r="N42" i="39" s="1"/>
  <c r="L17" i="53"/>
  <c r="L29" i="39" s="1"/>
  <c r="W37" i="39"/>
  <c r="S37" i="39"/>
  <c r="E79" i="1"/>
  <c r="C39" i="39"/>
  <c r="C40" i="39"/>
  <c r="K79" i="1"/>
  <c r="I40" i="39"/>
  <c r="I39" i="39"/>
  <c r="G79" i="1"/>
  <c r="E40" i="39"/>
  <c r="E39" i="39"/>
  <c r="J79" i="1"/>
  <c r="H39" i="39"/>
  <c r="H40" i="39"/>
  <c r="F79" i="1"/>
  <c r="D39" i="39"/>
  <c r="D40" i="39"/>
  <c r="V37" i="39"/>
  <c r="R37" i="39"/>
  <c r="I79" i="1"/>
  <c r="G39" i="39"/>
  <c r="G40" i="39"/>
  <c r="W25" i="39"/>
  <c r="S25" i="39"/>
  <c r="U37" i="39"/>
  <c r="Q37" i="39"/>
  <c r="H79" i="1"/>
  <c r="F39" i="39"/>
  <c r="F40" i="39"/>
  <c r="U25" i="39"/>
  <c r="V25" i="39"/>
  <c r="R25" i="39"/>
  <c r="Q25" i="39"/>
  <c r="T25" i="39"/>
  <c r="F78" i="1"/>
  <c r="D14" i="39"/>
  <c r="D15" i="39"/>
  <c r="H78" i="1"/>
  <c r="F14" i="39"/>
  <c r="F15" i="39"/>
  <c r="E78" i="1"/>
  <c r="C15" i="39"/>
  <c r="C14" i="39"/>
  <c r="K78" i="1"/>
  <c r="I14" i="39"/>
  <c r="I15" i="39"/>
  <c r="G78" i="1"/>
  <c r="E14" i="39"/>
  <c r="E15" i="39"/>
  <c r="J78" i="1"/>
  <c r="H14" i="39"/>
  <c r="H15" i="39"/>
  <c r="I78" i="1"/>
  <c r="G14" i="39"/>
  <c r="G15" i="39"/>
  <c r="D42" i="7"/>
  <c r="D40" i="7" s="1"/>
  <c r="S42" i="7"/>
  <c r="T36" i="7" s="1"/>
  <c r="T40" i="7" s="1"/>
  <c r="F65" i="62"/>
  <c r="T108" i="62"/>
  <c r="T107" i="62"/>
  <c r="T106" i="62"/>
  <c r="T105" i="62"/>
  <c r="T104" i="62"/>
  <c r="T103" i="62"/>
  <c r="T101" i="62"/>
  <c r="T100" i="62"/>
  <c r="T98" i="62"/>
  <c r="T97" i="62"/>
  <c r="U97" i="62" s="1"/>
  <c r="T96" i="62"/>
  <c r="T95" i="62"/>
  <c r="U95" i="62" s="1"/>
  <c r="T93" i="62"/>
  <c r="T91" i="62"/>
  <c r="T90" i="62"/>
  <c r="U90" i="62" s="1"/>
  <c r="V90" i="62" s="1"/>
  <c r="W90" i="62" s="1"/>
  <c r="T89" i="62"/>
  <c r="T88" i="62"/>
  <c r="U88" i="62" s="1"/>
  <c r="V88" i="62" s="1"/>
  <c r="W88" i="62" s="1"/>
  <c r="X88" i="62" s="1"/>
  <c r="Y88" i="62" s="1"/>
  <c r="T87" i="62"/>
  <c r="T86" i="62"/>
  <c r="U86" i="62" s="1"/>
  <c r="V86" i="62" s="1"/>
  <c r="W86" i="62" s="1"/>
  <c r="X86" i="62" s="1"/>
  <c r="Y86" i="62" s="1"/>
  <c r="T85" i="62"/>
  <c r="U85" i="62" s="1"/>
  <c r="V85" i="62" s="1"/>
  <c r="T84" i="62"/>
  <c r="U84" i="62" s="1"/>
  <c r="V84" i="62" s="1"/>
  <c r="W84" i="62" s="1"/>
  <c r="X84" i="62" s="1"/>
  <c r="Y84" i="62" s="1"/>
  <c r="T82" i="62"/>
  <c r="U82" i="62" s="1"/>
  <c r="V82" i="62" s="1"/>
  <c r="W82" i="62" s="1"/>
  <c r="X82" i="62" s="1"/>
  <c r="Y82" i="62" s="1"/>
  <c r="T81" i="62"/>
  <c r="U81" i="62" s="1"/>
  <c r="V81" i="62" s="1"/>
  <c r="W81" i="62" s="1"/>
  <c r="X81" i="62" s="1"/>
  <c r="Y81" i="62" s="1"/>
  <c r="T78" i="62"/>
  <c r="U78" i="62" s="1"/>
  <c r="T77" i="62"/>
  <c r="T75" i="62"/>
  <c r="U75" i="62" s="1"/>
  <c r="V75" i="62" s="1"/>
  <c r="W75" i="62" s="1"/>
  <c r="X75" i="62" s="1"/>
  <c r="Y75" i="62" s="1"/>
  <c r="T73" i="62"/>
  <c r="T72" i="62"/>
  <c r="U72" i="62" s="1"/>
  <c r="V72" i="62" s="1"/>
  <c r="W72" i="62" s="1"/>
  <c r="X72" i="62" s="1"/>
  <c r="Y72" i="62" s="1"/>
  <c r="T70" i="62"/>
  <c r="U70" i="62" s="1"/>
  <c r="T69" i="62"/>
  <c r="T68" i="62"/>
  <c r="U68" i="62" s="1"/>
  <c r="T66" i="62"/>
  <c r="U66" i="62" s="1"/>
  <c r="V66" i="62" s="1"/>
  <c r="W66" i="62" s="1"/>
  <c r="X66" i="62" s="1"/>
  <c r="Y66" i="62" s="1"/>
  <c r="T65" i="62"/>
  <c r="T63" i="62"/>
  <c r="U63" i="62" s="1"/>
  <c r="V63" i="62" s="1"/>
  <c r="W63" i="62" s="1"/>
  <c r="X63" i="62" s="1"/>
  <c r="Y63" i="62" s="1"/>
  <c r="T62" i="62"/>
  <c r="M108" i="62"/>
  <c r="M107" i="62"/>
  <c r="M106" i="62"/>
  <c r="M105" i="62"/>
  <c r="M104" i="62"/>
  <c r="M103" i="62"/>
  <c r="M101" i="62"/>
  <c r="M100" i="62"/>
  <c r="M98" i="62"/>
  <c r="N98" i="62" s="1"/>
  <c r="M97" i="62"/>
  <c r="M96" i="62"/>
  <c r="N96" i="62" s="1"/>
  <c r="M95" i="62"/>
  <c r="N95" i="62" s="1"/>
  <c r="M93" i="62"/>
  <c r="M91" i="62"/>
  <c r="M90" i="62"/>
  <c r="N90" i="62" s="1"/>
  <c r="O90" i="62" s="1"/>
  <c r="P90" i="62" s="1"/>
  <c r="Q90" i="62" s="1"/>
  <c r="R90" i="62" s="1"/>
  <c r="M89" i="62"/>
  <c r="M88" i="62"/>
  <c r="N88" i="62" s="1"/>
  <c r="O88" i="62" s="1"/>
  <c r="P88" i="62" s="1"/>
  <c r="Q88" i="62" s="1"/>
  <c r="R88" i="62" s="1"/>
  <c r="M87" i="62"/>
  <c r="M86" i="62"/>
  <c r="N86" i="62" s="1"/>
  <c r="O86" i="62" s="1"/>
  <c r="P86" i="62" s="1"/>
  <c r="Q86" i="62" s="1"/>
  <c r="R86" i="62" s="1"/>
  <c r="M85" i="62"/>
  <c r="M84" i="62"/>
  <c r="N84" i="62" s="1"/>
  <c r="O84" i="62" s="1"/>
  <c r="P84" i="62" s="1"/>
  <c r="Q84" i="62" s="1"/>
  <c r="R84" i="62" s="1"/>
  <c r="M82" i="62"/>
  <c r="N82" i="62" s="1"/>
  <c r="O82" i="62" s="1"/>
  <c r="P82" i="62" s="1"/>
  <c r="Q82" i="62" s="1"/>
  <c r="R82" i="62" s="1"/>
  <c r="M81" i="62"/>
  <c r="N81" i="62" s="1"/>
  <c r="O81" i="62" s="1"/>
  <c r="P81" i="62" s="1"/>
  <c r="Q81" i="62" s="1"/>
  <c r="R81" i="62" s="1"/>
  <c r="M78" i="62"/>
  <c r="N78" i="62" s="1"/>
  <c r="M77" i="62"/>
  <c r="M75" i="62"/>
  <c r="N75" i="62" s="1"/>
  <c r="O75" i="62" s="1"/>
  <c r="P75" i="62" s="1"/>
  <c r="Q75" i="62" s="1"/>
  <c r="R75" i="62" s="1"/>
  <c r="M73" i="62"/>
  <c r="M72" i="62"/>
  <c r="N72" i="62" s="1"/>
  <c r="O72" i="62" s="1"/>
  <c r="P72" i="62" s="1"/>
  <c r="Q72" i="62" s="1"/>
  <c r="R72" i="62" s="1"/>
  <c r="M70" i="62"/>
  <c r="N70" i="62" s="1"/>
  <c r="M69" i="62"/>
  <c r="M68" i="62"/>
  <c r="N68" i="62" s="1"/>
  <c r="M66" i="62"/>
  <c r="M65" i="62"/>
  <c r="N65" i="62" s="1"/>
  <c r="M63" i="62"/>
  <c r="M62" i="62"/>
  <c r="F108" i="62"/>
  <c r="F107" i="62"/>
  <c r="F106" i="62"/>
  <c r="F105" i="62"/>
  <c r="F104" i="62"/>
  <c r="F103" i="62"/>
  <c r="F101" i="62"/>
  <c r="F100" i="62"/>
  <c r="F98" i="62"/>
  <c r="G98" i="62" s="1"/>
  <c r="F97" i="62"/>
  <c r="F96" i="62"/>
  <c r="G96" i="62" s="1"/>
  <c r="F95" i="62"/>
  <c r="F93" i="62"/>
  <c r="F91" i="62"/>
  <c r="F90" i="62"/>
  <c r="G90" i="62" s="1"/>
  <c r="F89" i="62"/>
  <c r="F88" i="62"/>
  <c r="G88" i="62" s="1"/>
  <c r="F87" i="62"/>
  <c r="F86" i="62"/>
  <c r="G86" i="62" s="1"/>
  <c r="F85" i="62"/>
  <c r="F84" i="62"/>
  <c r="G84" i="62" s="1"/>
  <c r="F82" i="62"/>
  <c r="F81" i="62"/>
  <c r="F78" i="62"/>
  <c r="G78" i="62" s="1"/>
  <c r="F77" i="62"/>
  <c r="F75" i="62"/>
  <c r="G75" i="62" s="1"/>
  <c r="F73" i="62"/>
  <c r="G73" i="62" s="1"/>
  <c r="F72" i="62"/>
  <c r="F70" i="62"/>
  <c r="G70" i="62" s="1"/>
  <c r="F69" i="62"/>
  <c r="F68" i="62"/>
  <c r="G68" i="62" s="1"/>
  <c r="F66" i="62"/>
  <c r="G66" i="62" s="1"/>
  <c r="F63" i="62"/>
  <c r="G63" i="62" s="1"/>
  <c r="H63" i="62" s="1"/>
  <c r="I63" i="62" s="1"/>
  <c r="J63" i="62" s="1"/>
  <c r="K63" i="62" s="1"/>
  <c r="G62" i="62"/>
  <c r="Z58" i="51"/>
  <c r="Z57" i="51"/>
  <c r="Z56" i="51"/>
  <c r="Z55" i="51"/>
  <c r="Z54" i="51"/>
  <c r="Z53" i="51"/>
  <c r="Z51" i="51"/>
  <c r="Z50" i="51"/>
  <c r="Z48" i="51"/>
  <c r="Z47" i="51"/>
  <c r="Z46" i="51"/>
  <c r="Z45" i="51"/>
  <c r="Z43" i="51"/>
  <c r="Z41" i="51"/>
  <c r="Z40" i="51"/>
  <c r="Z39" i="51"/>
  <c r="Z38" i="51"/>
  <c r="Z37" i="51"/>
  <c r="Z36" i="51"/>
  <c r="Z35" i="51"/>
  <c r="Z34" i="51"/>
  <c r="Z32" i="51"/>
  <c r="Z28" i="51"/>
  <c r="Z27" i="51"/>
  <c r="Z25" i="51"/>
  <c r="Z23" i="51"/>
  <c r="Z22" i="51"/>
  <c r="Z20" i="51"/>
  <c r="Z19" i="51"/>
  <c r="Z18" i="51"/>
  <c r="Z16" i="51"/>
  <c r="Z15" i="51"/>
  <c r="Z13" i="51"/>
  <c r="Z12" i="51"/>
  <c r="S58" i="51"/>
  <c r="S57" i="51"/>
  <c r="S56" i="51"/>
  <c r="S55" i="51"/>
  <c r="S54" i="51"/>
  <c r="S53" i="51"/>
  <c r="S51" i="51"/>
  <c r="S50" i="51"/>
  <c r="S48" i="51"/>
  <c r="S47" i="51"/>
  <c r="S46" i="51"/>
  <c r="S45" i="51"/>
  <c r="S43" i="51"/>
  <c r="S41" i="51"/>
  <c r="S40" i="51"/>
  <c r="S39" i="51"/>
  <c r="S38" i="51"/>
  <c r="S37" i="51"/>
  <c r="S36" i="51"/>
  <c r="S35" i="51"/>
  <c r="S34" i="51"/>
  <c r="S32" i="51"/>
  <c r="S28" i="51"/>
  <c r="S27" i="51"/>
  <c r="S25" i="51"/>
  <c r="S23" i="51"/>
  <c r="S22" i="51"/>
  <c r="S20" i="51"/>
  <c r="S19" i="51"/>
  <c r="S18" i="51"/>
  <c r="S16" i="51"/>
  <c r="S15" i="51"/>
  <c r="S13" i="51"/>
  <c r="S12" i="51"/>
  <c r="L58" i="51"/>
  <c r="L57" i="51"/>
  <c r="L56" i="51"/>
  <c r="L55" i="51"/>
  <c r="L54" i="51"/>
  <c r="L53" i="51"/>
  <c r="L51" i="51"/>
  <c r="L50" i="51"/>
  <c r="L48" i="51"/>
  <c r="L47" i="51"/>
  <c r="L46" i="51"/>
  <c r="L45" i="51"/>
  <c r="L43" i="51"/>
  <c r="L41" i="51"/>
  <c r="L40" i="51"/>
  <c r="L39" i="51"/>
  <c r="L38" i="51"/>
  <c r="L37" i="51"/>
  <c r="L36" i="51"/>
  <c r="L35" i="51"/>
  <c r="L34" i="51"/>
  <c r="L32" i="51"/>
  <c r="L28" i="51"/>
  <c r="L27" i="51"/>
  <c r="L25" i="51"/>
  <c r="L23" i="51"/>
  <c r="L22" i="51"/>
  <c r="L20" i="51"/>
  <c r="L19" i="51"/>
  <c r="L18" i="51"/>
  <c r="L16" i="51"/>
  <c r="L15" i="51"/>
  <c r="L13" i="51"/>
  <c r="L12" i="51"/>
  <c r="E58" i="51"/>
  <c r="E57" i="51"/>
  <c r="E56" i="51"/>
  <c r="E55" i="51"/>
  <c r="E54" i="51"/>
  <c r="E53" i="51"/>
  <c r="E51" i="51"/>
  <c r="E50" i="51"/>
  <c r="E48" i="51"/>
  <c r="E47" i="51"/>
  <c r="E46" i="51"/>
  <c r="E45" i="51"/>
  <c r="E43" i="51"/>
  <c r="E41" i="51"/>
  <c r="E40" i="51"/>
  <c r="E39" i="51"/>
  <c r="E38" i="51"/>
  <c r="E37" i="51"/>
  <c r="E36" i="51"/>
  <c r="E35" i="51"/>
  <c r="E34" i="51"/>
  <c r="E32" i="51"/>
  <c r="E28" i="51"/>
  <c r="E27" i="51"/>
  <c r="E25" i="51"/>
  <c r="E23" i="51"/>
  <c r="E22" i="51"/>
  <c r="E20" i="51"/>
  <c r="E19" i="51"/>
  <c r="E18" i="51"/>
  <c r="E16" i="51"/>
  <c r="E15" i="51"/>
  <c r="E13" i="51"/>
  <c r="E12" i="51"/>
  <c r="S94" i="62"/>
  <c r="L94" i="62"/>
  <c r="S80" i="62"/>
  <c r="S79" i="62" s="1"/>
  <c r="L80" i="62"/>
  <c r="L79" i="62" s="1"/>
  <c r="S74" i="62"/>
  <c r="L74" i="62"/>
  <c r="S71" i="62"/>
  <c r="L71" i="62"/>
  <c r="S64" i="62"/>
  <c r="L64" i="62"/>
  <c r="S61" i="62"/>
  <c r="L61" i="62"/>
  <c r="K9" i="62"/>
  <c r="R9" i="62" s="1"/>
  <c r="Y9" i="62" s="1"/>
  <c r="AF9" i="62" s="1"/>
  <c r="J9" i="62"/>
  <c r="Q9" i="62" s="1"/>
  <c r="X9" i="62" s="1"/>
  <c r="AE9" i="62" s="1"/>
  <c r="I9" i="62"/>
  <c r="P9" i="62" s="1"/>
  <c r="W9" i="62" s="1"/>
  <c r="AD9" i="62" s="1"/>
  <c r="H9" i="62"/>
  <c r="O9" i="62" s="1"/>
  <c r="V9" i="62" s="1"/>
  <c r="AC9" i="62" s="1"/>
  <c r="G9" i="62"/>
  <c r="N9" i="62" s="1"/>
  <c r="U9" i="62" s="1"/>
  <c r="AB9" i="62" s="1"/>
  <c r="F9" i="62"/>
  <c r="M9" i="62" s="1"/>
  <c r="T9" i="62" s="1"/>
  <c r="AA9" i="62" s="1"/>
  <c r="E9" i="62"/>
  <c r="L9" i="62" s="1"/>
  <c r="S9" i="62" s="1"/>
  <c r="Z9" i="62" s="1"/>
  <c r="AK9" i="54"/>
  <c r="AK87" i="54" s="1"/>
  <c r="AI9" i="54"/>
  <c r="AI87" i="54" s="1"/>
  <c r="AG9" i="54"/>
  <c r="AG87" i="54" s="1"/>
  <c r="AE9" i="54"/>
  <c r="AE87" i="54" s="1"/>
  <c r="AC9" i="54"/>
  <c r="AC87" i="54" s="1"/>
  <c r="AA9" i="54"/>
  <c r="AA87" i="54" s="1"/>
  <c r="Y9" i="54"/>
  <c r="Y87" i="54" s="1"/>
  <c r="W9" i="54"/>
  <c r="W87" i="54" s="1"/>
  <c r="U9" i="54"/>
  <c r="U87" i="54" s="1"/>
  <c r="S9" i="54"/>
  <c r="S87" i="54" s="1"/>
  <c r="Q9" i="54"/>
  <c r="Q87" i="54" s="1"/>
  <c r="P9" i="54"/>
  <c r="P87" i="54" s="1"/>
  <c r="O9" i="54"/>
  <c r="O87" i="54" s="1"/>
  <c r="M9" i="54"/>
  <c r="M87" i="54" s="1"/>
  <c r="K9" i="54"/>
  <c r="K87" i="54" s="1"/>
  <c r="I9" i="54"/>
  <c r="I87" i="54" s="1"/>
  <c r="G9" i="54"/>
  <c r="G87" i="54" s="1"/>
  <c r="E9" i="54"/>
  <c r="E87" i="54" s="1"/>
  <c r="D9" i="54"/>
  <c r="D87" i="54" s="1"/>
  <c r="C9" i="54"/>
  <c r="C87" i="54" s="1"/>
  <c r="I10" i="53"/>
  <c r="I90" i="53" s="1"/>
  <c r="H10" i="53"/>
  <c r="H90" i="53" s="1"/>
  <c r="G10" i="53"/>
  <c r="G90" i="53" s="1"/>
  <c r="F10" i="53"/>
  <c r="F90" i="53" s="1"/>
  <c r="E10" i="53"/>
  <c r="E90" i="53" s="1"/>
  <c r="D10" i="53"/>
  <c r="D90" i="53" s="1"/>
  <c r="C10" i="53"/>
  <c r="C90" i="53" s="1"/>
  <c r="I9" i="60"/>
  <c r="P9" i="60" s="1"/>
  <c r="W9" i="60" s="1"/>
  <c r="AD9" i="60" s="1"/>
  <c r="H9" i="60"/>
  <c r="O9" i="60" s="1"/>
  <c r="V9" i="60" s="1"/>
  <c r="AC9" i="60" s="1"/>
  <c r="G9" i="60"/>
  <c r="N9" i="60" s="1"/>
  <c r="U9" i="60" s="1"/>
  <c r="AB9" i="60" s="1"/>
  <c r="F9" i="60"/>
  <c r="M9" i="60" s="1"/>
  <c r="T9" i="60" s="1"/>
  <c r="AA9" i="60" s="1"/>
  <c r="E9" i="60"/>
  <c r="L9" i="60" s="1"/>
  <c r="S9" i="60" s="1"/>
  <c r="Z9" i="60" s="1"/>
  <c r="D9" i="60"/>
  <c r="K9" i="60" s="1"/>
  <c r="R9" i="60" s="1"/>
  <c r="Y9" i="60" s="1"/>
  <c r="C9" i="60"/>
  <c r="J9" i="60" s="1"/>
  <c r="Q9" i="60" s="1"/>
  <c r="X9" i="60" s="1"/>
  <c r="K7" i="50"/>
  <c r="J7" i="50"/>
  <c r="I7" i="50"/>
  <c r="H7" i="50"/>
  <c r="G7" i="50"/>
  <c r="F7" i="50"/>
  <c r="E7" i="50"/>
  <c r="K9" i="51"/>
  <c r="R9" i="51" s="1"/>
  <c r="Y9" i="51" s="1"/>
  <c r="J9" i="51"/>
  <c r="Q9" i="51" s="1"/>
  <c r="X9" i="51" s="1"/>
  <c r="I9" i="51"/>
  <c r="P9" i="51" s="1"/>
  <c r="W9" i="51" s="1"/>
  <c r="H9" i="51"/>
  <c r="O9" i="51" s="1"/>
  <c r="V9" i="51" s="1"/>
  <c r="G9" i="51"/>
  <c r="N9" i="51" s="1"/>
  <c r="U9" i="51" s="1"/>
  <c r="F9" i="51"/>
  <c r="M9" i="51" s="1"/>
  <c r="T9" i="51" s="1"/>
  <c r="E9" i="51"/>
  <c r="A3" i="62"/>
  <c r="C44" i="53"/>
  <c r="J44" i="53"/>
  <c r="M44" i="53" s="1"/>
  <c r="Q44" i="53"/>
  <c r="L40" i="7" l="1"/>
  <c r="K40" i="7"/>
  <c r="L33" i="51"/>
  <c r="N17" i="53"/>
  <c r="N29" i="39" s="1"/>
  <c r="O17" i="53"/>
  <c r="O29" i="39" s="1"/>
  <c r="P17" i="53"/>
  <c r="P29" i="39" s="1"/>
  <c r="T83" i="62"/>
  <c r="Z33" i="51"/>
  <c r="E33" i="51"/>
  <c r="S33" i="51"/>
  <c r="F83" i="62"/>
  <c r="N91" i="62"/>
  <c r="M83" i="62"/>
  <c r="J29" i="39"/>
  <c r="G93" i="62"/>
  <c r="G101" i="62"/>
  <c r="H101" i="62" s="1"/>
  <c r="O78" i="62"/>
  <c r="O95" i="62"/>
  <c r="P95" i="62" s="1"/>
  <c r="M99" i="62"/>
  <c r="V68" i="62"/>
  <c r="V70" i="62"/>
  <c r="U93" i="62"/>
  <c r="U101" i="62"/>
  <c r="U104" i="62"/>
  <c r="U106" i="62"/>
  <c r="U108" i="62"/>
  <c r="H62" i="62"/>
  <c r="O65" i="62"/>
  <c r="O68" i="62"/>
  <c r="O70" i="62"/>
  <c r="N93" i="62"/>
  <c r="O96" i="62"/>
  <c r="O98" i="62"/>
  <c r="N101" i="62"/>
  <c r="N104" i="62"/>
  <c r="N106" i="62"/>
  <c r="N108" i="62"/>
  <c r="V78" i="62"/>
  <c r="V95" i="62"/>
  <c r="V97" i="62"/>
  <c r="F99" i="62"/>
  <c r="E49" i="51"/>
  <c r="L49" i="51"/>
  <c r="S49" i="51"/>
  <c r="Z49" i="51"/>
  <c r="T99" i="62"/>
  <c r="AT9" i="60"/>
  <c r="AF9" i="60"/>
  <c r="AM9" i="60" s="1"/>
  <c r="AY9" i="60"/>
  <c r="AK9" i="60"/>
  <c r="AR9" i="60" s="1"/>
  <c r="AV9" i="60"/>
  <c r="AH9" i="60"/>
  <c r="AO9" i="60" s="1"/>
  <c r="AS9" i="60"/>
  <c r="AE9" i="60"/>
  <c r="AL9" i="60" s="1"/>
  <c r="AW9" i="60"/>
  <c r="AI9" i="60"/>
  <c r="AP9" i="60" s="1"/>
  <c r="AU9" i="60"/>
  <c r="AG9" i="60"/>
  <c r="AN9" i="60" s="1"/>
  <c r="X90" i="62"/>
  <c r="Y90" i="62" s="1"/>
  <c r="AX9" i="60"/>
  <c r="AJ9" i="60"/>
  <c r="AQ9" i="60" s="1"/>
  <c r="G69" i="62"/>
  <c r="G65" i="62"/>
  <c r="G64" i="62" s="1"/>
  <c r="E36" i="7"/>
  <c r="M42" i="7"/>
  <c r="N36" i="7" s="1"/>
  <c r="S67" i="62"/>
  <c r="E24" i="51"/>
  <c r="U44" i="53"/>
  <c r="O44" i="53"/>
  <c r="G44" i="53"/>
  <c r="E44" i="53"/>
  <c r="N44" i="53"/>
  <c r="L44" i="53"/>
  <c r="P44" i="53"/>
  <c r="W44" i="53"/>
  <c r="E73" i="51"/>
  <c r="L67" i="62"/>
  <c r="I44" i="53"/>
  <c r="T42" i="7"/>
  <c r="U36" i="7" s="1"/>
  <c r="U40" i="7" s="1"/>
  <c r="H70" i="62"/>
  <c r="H75" i="62"/>
  <c r="H86" i="62"/>
  <c r="H90" i="62"/>
  <c r="H96" i="62"/>
  <c r="G106" i="62"/>
  <c r="N62" i="62"/>
  <c r="N73" i="62"/>
  <c r="U77" i="62"/>
  <c r="V77" i="62" s="1"/>
  <c r="U87" i="62"/>
  <c r="U91" i="62"/>
  <c r="U103" i="62"/>
  <c r="U107" i="62"/>
  <c r="S44" i="53"/>
  <c r="H66" i="62"/>
  <c r="G72" i="62"/>
  <c r="G77" i="62"/>
  <c r="G82" i="62"/>
  <c r="G87" i="62"/>
  <c r="G91" i="62"/>
  <c r="G97" i="62"/>
  <c r="G103" i="62"/>
  <c r="G107" i="62"/>
  <c r="N63" i="62"/>
  <c r="O63" i="62" s="1"/>
  <c r="N69" i="62"/>
  <c r="N85" i="62"/>
  <c r="O85" i="62" s="1"/>
  <c r="N89" i="62"/>
  <c r="O89" i="62" s="1"/>
  <c r="N100" i="62"/>
  <c r="N105" i="62"/>
  <c r="U62" i="62"/>
  <c r="U73" i="62"/>
  <c r="U98" i="62"/>
  <c r="H68" i="62"/>
  <c r="H73" i="62"/>
  <c r="H78" i="62"/>
  <c r="H84" i="62"/>
  <c r="H88" i="62"/>
  <c r="H98" i="62"/>
  <c r="G104" i="62"/>
  <c r="G108" i="62"/>
  <c r="U69" i="62"/>
  <c r="W85" i="62"/>
  <c r="X85" i="62" s="1"/>
  <c r="U89" i="62"/>
  <c r="V89" i="62" s="1"/>
  <c r="U100" i="62"/>
  <c r="U105" i="62"/>
  <c r="G81" i="62"/>
  <c r="G85" i="62"/>
  <c r="G89" i="62"/>
  <c r="G95" i="62"/>
  <c r="G100" i="62"/>
  <c r="G105" i="62"/>
  <c r="N66" i="62"/>
  <c r="N77" i="62"/>
  <c r="N87" i="62"/>
  <c r="N97" i="62"/>
  <c r="N103" i="62"/>
  <c r="N107" i="62"/>
  <c r="O107" i="62" s="1"/>
  <c r="U65" i="62"/>
  <c r="U96" i="62"/>
  <c r="E60" i="62"/>
  <c r="F61" i="62"/>
  <c r="F64" i="62"/>
  <c r="M64" i="62"/>
  <c r="T64" i="62"/>
  <c r="V44" i="53"/>
  <c r="T44" i="53"/>
  <c r="H44" i="53"/>
  <c r="F44" i="53"/>
  <c r="M40" i="7" l="1"/>
  <c r="G83" i="62"/>
  <c r="U83" i="62"/>
  <c r="O91" i="62"/>
  <c r="N83" i="62"/>
  <c r="L60" i="62"/>
  <c r="S60" i="62"/>
  <c r="E42" i="7"/>
  <c r="F36" i="7" s="1"/>
  <c r="V96" i="62"/>
  <c r="O97" i="62"/>
  <c r="O94" i="62" s="1"/>
  <c r="G99" i="62"/>
  <c r="O105" i="62"/>
  <c r="P105" i="62" s="1"/>
  <c r="Q95" i="62"/>
  <c r="H65" i="62"/>
  <c r="H64" i="62" s="1"/>
  <c r="V65" i="62"/>
  <c r="O103" i="62"/>
  <c r="V105" i="62"/>
  <c r="V69" i="62"/>
  <c r="H93" i="62"/>
  <c r="V98" i="62"/>
  <c r="W98" i="62" s="1"/>
  <c r="O69" i="62"/>
  <c r="H69" i="62"/>
  <c r="W97" i="62"/>
  <c r="W95" i="62"/>
  <c r="W78" i="62"/>
  <c r="O108" i="62"/>
  <c r="O106" i="62"/>
  <c r="O104" i="62"/>
  <c r="O101" i="62"/>
  <c r="P98" i="62"/>
  <c r="P96" i="62"/>
  <c r="O93" i="62"/>
  <c r="P70" i="62"/>
  <c r="P68" i="62"/>
  <c r="P65" i="62"/>
  <c r="I62" i="62"/>
  <c r="I61" i="62" s="1"/>
  <c r="V108" i="62"/>
  <c r="V106" i="62"/>
  <c r="V104" i="62"/>
  <c r="V101" i="62"/>
  <c r="V93" i="62"/>
  <c r="W70" i="62"/>
  <c r="W68" i="62"/>
  <c r="P78" i="62"/>
  <c r="V73" i="62"/>
  <c r="W73" i="62" s="1"/>
  <c r="V100" i="62"/>
  <c r="W100" i="62" s="1"/>
  <c r="U99" i="62"/>
  <c r="O100" i="62"/>
  <c r="N99" i="62"/>
  <c r="N42" i="7"/>
  <c r="O36" i="7" s="1"/>
  <c r="U42" i="7"/>
  <c r="V36" i="7" s="1"/>
  <c r="V40" i="7" s="1"/>
  <c r="H105" i="62"/>
  <c r="H85" i="62"/>
  <c r="V107" i="62"/>
  <c r="W77" i="62"/>
  <c r="W74" i="62" s="1"/>
  <c r="I101" i="62"/>
  <c r="P107" i="62"/>
  <c r="O87" i="62"/>
  <c r="H100" i="62"/>
  <c r="H81" i="62"/>
  <c r="V103" i="62"/>
  <c r="O73" i="62"/>
  <c r="I96" i="62"/>
  <c r="W96" i="62"/>
  <c r="O77" i="62"/>
  <c r="O74" i="62" s="1"/>
  <c r="H95" i="62"/>
  <c r="V91" i="62"/>
  <c r="O62" i="62"/>
  <c r="I90" i="62"/>
  <c r="O66" i="62"/>
  <c r="N64" i="62"/>
  <c r="H89" i="62"/>
  <c r="V87" i="62"/>
  <c r="H106" i="62"/>
  <c r="I86" i="62"/>
  <c r="I75" i="62"/>
  <c r="W89" i="62"/>
  <c r="H108" i="62"/>
  <c r="I98" i="62"/>
  <c r="I88" i="62"/>
  <c r="I78" i="62"/>
  <c r="I68" i="62"/>
  <c r="V62" i="62"/>
  <c r="P89" i="62"/>
  <c r="H107" i="62"/>
  <c r="H97" i="62"/>
  <c r="H87" i="62"/>
  <c r="H77" i="62"/>
  <c r="I66" i="62"/>
  <c r="I70" i="62"/>
  <c r="Y85" i="62"/>
  <c r="H104" i="62"/>
  <c r="I84" i="62"/>
  <c r="I73" i="62"/>
  <c r="P85" i="62"/>
  <c r="P63" i="62"/>
  <c r="H103" i="62"/>
  <c r="H91" i="62"/>
  <c r="H82" i="62"/>
  <c r="H72" i="62"/>
  <c r="U61" i="62"/>
  <c r="N61" i="62"/>
  <c r="G61" i="62"/>
  <c r="M61" i="62"/>
  <c r="H61" i="62"/>
  <c r="T94" i="62"/>
  <c r="M94" i="62"/>
  <c r="F94" i="62"/>
  <c r="U80" i="62"/>
  <c r="V80" i="62"/>
  <c r="N80" i="62"/>
  <c r="O80" i="62"/>
  <c r="G80" i="62"/>
  <c r="U74" i="62"/>
  <c r="V74" i="62"/>
  <c r="N74" i="62"/>
  <c r="G74" i="62"/>
  <c r="U71" i="62"/>
  <c r="N71" i="62"/>
  <c r="G71" i="62"/>
  <c r="U64" i="62"/>
  <c r="T61" i="62"/>
  <c r="U94" i="62"/>
  <c r="N94" i="62"/>
  <c r="G94" i="62"/>
  <c r="W80" i="62"/>
  <c r="T80" i="62"/>
  <c r="T79" i="62" s="1"/>
  <c r="M80" i="62"/>
  <c r="M79" i="62" s="1"/>
  <c r="F80" i="62"/>
  <c r="F79" i="62" s="1"/>
  <c r="T74" i="62"/>
  <c r="M74" i="62"/>
  <c r="F74" i="62"/>
  <c r="T71" i="62"/>
  <c r="M71" i="62"/>
  <c r="F71" i="62"/>
  <c r="E40" i="7" l="1"/>
  <c r="N40" i="7"/>
  <c r="G79" i="62"/>
  <c r="V83" i="62"/>
  <c r="V79" i="62" s="1"/>
  <c r="N79" i="62"/>
  <c r="U79" i="62"/>
  <c r="H83" i="62"/>
  <c r="O83" i="62"/>
  <c r="O79" i="62" s="1"/>
  <c r="P91" i="62"/>
  <c r="V94" i="62"/>
  <c r="F42" i="7"/>
  <c r="G36" i="7" s="1"/>
  <c r="U67" i="62"/>
  <c r="R95" i="62"/>
  <c r="P69" i="62"/>
  <c r="Q69" i="62" s="1"/>
  <c r="H99" i="62"/>
  <c r="O99" i="62"/>
  <c r="V99" i="62"/>
  <c r="X68" i="62"/>
  <c r="X70" i="62"/>
  <c r="W93" i="62"/>
  <c r="W101" i="62"/>
  <c r="W104" i="62"/>
  <c r="W106" i="62"/>
  <c r="W108" i="62"/>
  <c r="J62" i="62"/>
  <c r="Q65" i="62"/>
  <c r="Q68" i="62"/>
  <c r="Q70" i="62"/>
  <c r="P93" i="62"/>
  <c r="Q96" i="62"/>
  <c r="Q98" i="62"/>
  <c r="P101" i="62"/>
  <c r="P104" i="62"/>
  <c r="P106" i="62"/>
  <c r="P108" i="62"/>
  <c r="X78" i="62"/>
  <c r="X95" i="62"/>
  <c r="X97" i="62"/>
  <c r="V64" i="62"/>
  <c r="V71" i="62"/>
  <c r="V67" i="62" s="1"/>
  <c r="P100" i="62"/>
  <c r="I93" i="62"/>
  <c r="V61" i="62"/>
  <c r="W69" i="62"/>
  <c r="X69" i="62" s="1"/>
  <c r="W105" i="62"/>
  <c r="I69" i="62"/>
  <c r="P97" i="62"/>
  <c r="Q97" i="62" s="1"/>
  <c r="P103" i="62"/>
  <c r="Q103" i="62" s="1"/>
  <c r="W65" i="62"/>
  <c r="W64" i="62" s="1"/>
  <c r="Q78" i="62"/>
  <c r="I65" i="62"/>
  <c r="W71" i="62"/>
  <c r="O71" i="62"/>
  <c r="O67" i="62" s="1"/>
  <c r="O42" i="7"/>
  <c r="P36" i="7" s="1"/>
  <c r="H94" i="62"/>
  <c r="G67" i="62"/>
  <c r="T67" i="62"/>
  <c r="N67" i="62"/>
  <c r="F67" i="62"/>
  <c r="M67" i="62"/>
  <c r="W94" i="62"/>
  <c r="V42" i="7"/>
  <c r="W36" i="7" s="1"/>
  <c r="W40" i="7" s="1"/>
  <c r="I82" i="62"/>
  <c r="I103" i="62"/>
  <c r="Q85" i="62"/>
  <c r="Q105" i="62"/>
  <c r="J73" i="62"/>
  <c r="I77" i="62"/>
  <c r="I97" i="62"/>
  <c r="W62" i="62"/>
  <c r="J78" i="62"/>
  <c r="J98" i="62"/>
  <c r="J75" i="62"/>
  <c r="I106" i="62"/>
  <c r="J90" i="62"/>
  <c r="W91" i="62"/>
  <c r="I95" i="62"/>
  <c r="J101" i="62"/>
  <c r="W107" i="62"/>
  <c r="I105" i="62"/>
  <c r="P66" i="62"/>
  <c r="O64" i="62"/>
  <c r="J96" i="62"/>
  <c r="W103" i="62"/>
  <c r="I100" i="62"/>
  <c r="Q107" i="62"/>
  <c r="I72" i="62"/>
  <c r="I91" i="62"/>
  <c r="Q63" i="62"/>
  <c r="X73" i="62"/>
  <c r="J84" i="62"/>
  <c r="I104" i="62"/>
  <c r="J70" i="62"/>
  <c r="J66" i="62"/>
  <c r="I87" i="62"/>
  <c r="I107" i="62"/>
  <c r="Q89" i="62"/>
  <c r="X98" i="62"/>
  <c r="J68" i="62"/>
  <c r="J88" i="62"/>
  <c r="I108" i="62"/>
  <c r="X89" i="62"/>
  <c r="J86" i="62"/>
  <c r="W87" i="62"/>
  <c r="I89" i="62"/>
  <c r="P62" i="62"/>
  <c r="P77" i="62"/>
  <c r="X96" i="62"/>
  <c r="X77" i="62"/>
  <c r="I85" i="62"/>
  <c r="P80" i="62"/>
  <c r="O61" i="62"/>
  <c r="H71" i="62"/>
  <c r="H74" i="62"/>
  <c r="H80" i="62"/>
  <c r="P73" i="62"/>
  <c r="I81" i="62"/>
  <c r="P87" i="62"/>
  <c r="X100" i="62"/>
  <c r="Q100" i="62"/>
  <c r="H79" i="62" l="1"/>
  <c r="O40" i="7"/>
  <c r="F40" i="7"/>
  <c r="I83" i="62"/>
  <c r="W83" i="62"/>
  <c r="W79" i="62" s="1"/>
  <c r="Q91" i="62"/>
  <c r="P83" i="62"/>
  <c r="P79" i="62" s="1"/>
  <c r="F60" i="62"/>
  <c r="X65" i="62"/>
  <c r="Y65" i="62" s="1"/>
  <c r="U60" i="62"/>
  <c r="G42" i="7"/>
  <c r="G40" i="7" s="1"/>
  <c r="N60" i="62"/>
  <c r="W67" i="62"/>
  <c r="J69" i="62"/>
  <c r="K69" i="62" s="1"/>
  <c r="I99" i="62"/>
  <c r="J65" i="62"/>
  <c r="J64" i="62" s="1"/>
  <c r="P94" i="62"/>
  <c r="P99" i="62"/>
  <c r="I64" i="62"/>
  <c r="X105" i="62"/>
  <c r="Y105" i="62" s="1"/>
  <c r="J93" i="62"/>
  <c r="R78" i="62"/>
  <c r="Y97" i="62"/>
  <c r="Y95" i="62"/>
  <c r="Y78" i="62"/>
  <c r="Q108" i="62"/>
  <c r="Q106" i="62"/>
  <c r="Q104" i="62"/>
  <c r="Q101" i="62"/>
  <c r="R98" i="62"/>
  <c r="R96" i="62"/>
  <c r="Q93" i="62"/>
  <c r="R70" i="62"/>
  <c r="R68" i="62"/>
  <c r="R65" i="62"/>
  <c r="K62" i="62"/>
  <c r="J61" i="62"/>
  <c r="X108" i="62"/>
  <c r="X106" i="62"/>
  <c r="X104" i="62"/>
  <c r="X101" i="62"/>
  <c r="X99" i="62" s="1"/>
  <c r="X93" i="62"/>
  <c r="Y70" i="62"/>
  <c r="Y68" i="62"/>
  <c r="W99" i="62"/>
  <c r="T60" i="62"/>
  <c r="G60" i="62"/>
  <c r="V60" i="62"/>
  <c r="P42" i="7"/>
  <c r="P40" i="7" s="1"/>
  <c r="M60" i="62"/>
  <c r="O60" i="62"/>
  <c r="W42" i="7"/>
  <c r="K70" i="62"/>
  <c r="R63" i="62"/>
  <c r="J72" i="62"/>
  <c r="I71" i="62"/>
  <c r="R107" i="62"/>
  <c r="J81" i="62"/>
  <c r="I80" i="62"/>
  <c r="Q73" i="62"/>
  <c r="P71" i="62"/>
  <c r="Y96" i="62"/>
  <c r="X94" i="62"/>
  <c r="J89" i="62"/>
  <c r="K86" i="62"/>
  <c r="Y89" i="62"/>
  <c r="K88" i="62"/>
  <c r="Y98" i="62"/>
  <c r="J107" i="62"/>
  <c r="K84" i="62"/>
  <c r="Y73" i="62"/>
  <c r="X71" i="62"/>
  <c r="K96" i="62"/>
  <c r="J105" i="62"/>
  <c r="X107" i="62"/>
  <c r="R103" i="62"/>
  <c r="X91" i="62"/>
  <c r="K75" i="62"/>
  <c r="Y69" i="62"/>
  <c r="K78" i="62"/>
  <c r="X62" i="62"/>
  <c r="W61" i="62"/>
  <c r="J97" i="62"/>
  <c r="Q80" i="62"/>
  <c r="K73" i="62"/>
  <c r="R105" i="62"/>
  <c r="J103" i="62"/>
  <c r="K66" i="62"/>
  <c r="J91" i="62"/>
  <c r="Q66" i="62"/>
  <c r="P64" i="62"/>
  <c r="Q87" i="62"/>
  <c r="R97" i="62"/>
  <c r="Q94" i="62"/>
  <c r="H67" i="62"/>
  <c r="J85" i="62"/>
  <c r="Y77" i="62"/>
  <c r="X74" i="62"/>
  <c r="Q77" i="62"/>
  <c r="P74" i="62"/>
  <c r="Q62" i="62"/>
  <c r="P61" i="62"/>
  <c r="X87" i="62"/>
  <c r="J108" i="62"/>
  <c r="K68" i="62"/>
  <c r="R89" i="62"/>
  <c r="J87" i="62"/>
  <c r="J104" i="62"/>
  <c r="J100" i="62"/>
  <c r="X103" i="62"/>
  <c r="X80" i="62"/>
  <c r="X64" i="62"/>
  <c r="K101" i="62"/>
  <c r="J95" i="62"/>
  <c r="I94" i="62"/>
  <c r="K90" i="62"/>
  <c r="J106" i="62"/>
  <c r="K98" i="62"/>
  <c r="R69" i="62"/>
  <c r="J77" i="62"/>
  <c r="J74" i="62" s="1"/>
  <c r="I74" i="62"/>
  <c r="R85" i="62"/>
  <c r="J82" i="62"/>
  <c r="Y100" i="62"/>
  <c r="R100" i="62"/>
  <c r="I79" i="62" l="1"/>
  <c r="J83" i="62"/>
  <c r="X83" i="62"/>
  <c r="X79" i="62" s="1"/>
  <c r="Q83" i="62"/>
  <c r="Q79" i="62" s="1"/>
  <c r="R91" i="62"/>
  <c r="H36" i="7"/>
  <c r="H42" i="7" s="1"/>
  <c r="I36" i="7" s="1"/>
  <c r="J99" i="62"/>
  <c r="K61" i="62"/>
  <c r="R93" i="62"/>
  <c r="R101" i="62"/>
  <c r="R104" i="62"/>
  <c r="R106" i="62"/>
  <c r="R108" i="62"/>
  <c r="K65" i="62"/>
  <c r="K93" i="62"/>
  <c r="Y93" i="62"/>
  <c r="Y101" i="62"/>
  <c r="Y104" i="62"/>
  <c r="Y106" i="62"/>
  <c r="Y108" i="62"/>
  <c r="Q99" i="62"/>
  <c r="H60" i="62"/>
  <c r="K82" i="62"/>
  <c r="K106" i="62"/>
  <c r="Y64" i="62"/>
  <c r="K104" i="62"/>
  <c r="K108" i="62"/>
  <c r="R62" i="62"/>
  <c r="Q61" i="62"/>
  <c r="R94" i="62"/>
  <c r="R80" i="62"/>
  <c r="P67" i="62"/>
  <c r="P60" i="62" s="1"/>
  <c r="Y103" i="62"/>
  <c r="Y74" i="62"/>
  <c r="R66" i="62"/>
  <c r="Q64" i="62"/>
  <c r="Y71" i="62"/>
  <c r="K81" i="62"/>
  <c r="J80" i="62"/>
  <c r="I67" i="62"/>
  <c r="K77" i="62"/>
  <c r="K87" i="62"/>
  <c r="R77" i="62"/>
  <c r="Q74" i="62"/>
  <c r="K107" i="62"/>
  <c r="K89" i="62"/>
  <c r="R73" i="62"/>
  <c r="Q71" i="62"/>
  <c r="K100" i="62"/>
  <c r="K85" i="62"/>
  <c r="K97" i="62"/>
  <c r="Y94" i="62"/>
  <c r="K95" i="62"/>
  <c r="J94" i="62"/>
  <c r="R87" i="62"/>
  <c r="K103" i="62"/>
  <c r="W60" i="62"/>
  <c r="Y91" i="62"/>
  <c r="K105" i="62"/>
  <c r="Y80" i="62"/>
  <c r="Y87" i="62"/>
  <c r="K91" i="62"/>
  <c r="K83" i="62" s="1"/>
  <c r="Y62" i="62"/>
  <c r="X61" i="62"/>
  <c r="Y107" i="62"/>
  <c r="X67" i="62"/>
  <c r="K72" i="62"/>
  <c r="J71" i="62"/>
  <c r="J67" i="62" s="1"/>
  <c r="J79" i="62" l="1"/>
  <c r="J60" i="62" s="1"/>
  <c r="R83" i="62"/>
  <c r="Y83" i="62"/>
  <c r="Y79" i="62" s="1"/>
  <c r="R79" i="62"/>
  <c r="H40" i="7"/>
  <c r="I42" i="7"/>
  <c r="I40" i="7" s="1"/>
  <c r="K64" i="62"/>
  <c r="R99" i="62"/>
  <c r="K99" i="62"/>
  <c r="Y99" i="62"/>
  <c r="Q67" i="62"/>
  <c r="Q60" i="62" s="1"/>
  <c r="Y67" i="62"/>
  <c r="X60" i="62"/>
  <c r="I60" i="62"/>
  <c r="K80" i="62"/>
  <c r="K79" i="62" s="1"/>
  <c r="R61" i="62"/>
  <c r="K71" i="62"/>
  <c r="K94" i="62"/>
  <c r="R64" i="62"/>
  <c r="Y61" i="62"/>
  <c r="R71" i="62"/>
  <c r="K74" i="62"/>
  <c r="R74" i="62"/>
  <c r="G191" i="50"/>
  <c r="E257" i="50"/>
  <c r="E235" i="50"/>
  <c r="F191" i="50"/>
  <c r="AF57" i="51"/>
  <c r="AE57" i="51"/>
  <c r="AD57" i="51"/>
  <c r="AC57" i="51"/>
  <c r="AB57" i="51"/>
  <c r="AA57" i="51"/>
  <c r="Y57" i="51"/>
  <c r="X57" i="51"/>
  <c r="W57" i="51"/>
  <c r="V57" i="51"/>
  <c r="U57" i="51"/>
  <c r="T57" i="51"/>
  <c r="R57" i="51"/>
  <c r="Q57" i="51"/>
  <c r="P57" i="51"/>
  <c r="O57" i="51"/>
  <c r="N57" i="51"/>
  <c r="M57" i="51"/>
  <c r="K57" i="51"/>
  <c r="J57" i="51"/>
  <c r="I57" i="51"/>
  <c r="H57" i="51"/>
  <c r="G57" i="51"/>
  <c r="F57" i="51"/>
  <c r="R67" i="62" l="1"/>
  <c r="R60" i="62" s="1"/>
  <c r="Y60" i="62"/>
  <c r="K67" i="62"/>
  <c r="K60" i="62" l="1"/>
  <c r="L59" i="41"/>
  <c r="L69" i="41" s="1"/>
  <c r="L10" i="41"/>
  <c r="C12" i="49"/>
  <c r="AA59" i="41" l="1"/>
  <c r="E11" i="51"/>
  <c r="X30" i="60" l="1"/>
  <c r="Y30" i="60"/>
  <c r="Z30" i="60"/>
  <c r="AA30" i="60"/>
  <c r="AB30" i="60"/>
  <c r="AC30" i="60"/>
  <c r="AD30" i="60"/>
  <c r="X31" i="60"/>
  <c r="Y31" i="60"/>
  <c r="Z31" i="60"/>
  <c r="AA31" i="60"/>
  <c r="AB31" i="60"/>
  <c r="AC31" i="60"/>
  <c r="AD31" i="60"/>
  <c r="E76" i="39"/>
  <c r="E72" i="39"/>
  <c r="X34" i="60" l="1"/>
  <c r="AA34" i="60"/>
  <c r="AD33" i="60"/>
  <c r="Z33" i="60"/>
  <c r="AB34" i="60"/>
  <c r="AA33" i="60"/>
  <c r="AD34" i="60"/>
  <c r="Z34" i="60"/>
  <c r="AC33" i="60"/>
  <c r="Y33" i="60"/>
  <c r="AC34" i="60"/>
  <c r="Y34" i="60"/>
  <c r="AB33" i="60"/>
  <c r="X33" i="60"/>
  <c r="F112" i="1"/>
  <c r="G112" i="1"/>
  <c r="H112" i="1"/>
  <c r="I112" i="1"/>
  <c r="J112" i="1"/>
  <c r="K112" i="1"/>
  <c r="E112" i="1"/>
  <c r="H35" i="2"/>
  <c r="I35" i="2"/>
  <c r="J35" i="2"/>
  <c r="K35" i="2"/>
  <c r="AF58" i="51" l="1"/>
  <c r="AE58" i="51"/>
  <c r="AD58" i="51"/>
  <c r="AC58" i="51"/>
  <c r="AB58" i="51"/>
  <c r="AA58" i="51"/>
  <c r="AF56" i="51"/>
  <c r="AE56" i="51"/>
  <c r="AD56" i="51"/>
  <c r="AC56" i="51"/>
  <c r="AB56" i="51"/>
  <c r="AA56" i="51"/>
  <c r="AF55" i="51"/>
  <c r="AE55" i="51"/>
  <c r="AD55" i="51"/>
  <c r="AC55" i="51"/>
  <c r="AB55" i="51"/>
  <c r="AA55" i="51"/>
  <c r="AF54" i="51"/>
  <c r="AE54" i="51"/>
  <c r="AD54" i="51"/>
  <c r="AC54" i="51"/>
  <c r="AB54" i="51"/>
  <c r="AA54" i="51"/>
  <c r="AF53" i="51"/>
  <c r="AE53" i="51"/>
  <c r="AD53" i="51"/>
  <c r="AC53" i="51"/>
  <c r="AB53" i="51"/>
  <c r="AA53" i="51"/>
  <c r="AF51" i="51"/>
  <c r="AE51" i="51"/>
  <c r="AD51" i="51"/>
  <c r="AC51" i="51"/>
  <c r="AB51" i="51"/>
  <c r="AA51" i="51"/>
  <c r="AF50" i="51"/>
  <c r="AE50" i="51"/>
  <c r="AD50" i="51"/>
  <c r="AD49" i="51" s="1"/>
  <c r="AC50" i="51"/>
  <c r="AB50" i="51"/>
  <c r="AA50" i="51"/>
  <c r="AF48" i="51"/>
  <c r="AE48" i="51"/>
  <c r="AD48" i="51"/>
  <c r="AC48" i="51"/>
  <c r="AB48" i="51"/>
  <c r="AA48" i="51"/>
  <c r="AF47" i="51"/>
  <c r="AE47" i="51"/>
  <c r="AD47" i="51"/>
  <c r="AC47" i="51"/>
  <c r="AB47" i="51"/>
  <c r="AA47" i="51"/>
  <c r="AF46" i="51"/>
  <c r="AE46" i="51"/>
  <c r="AD46" i="51"/>
  <c r="AC46" i="51"/>
  <c r="AB46" i="51"/>
  <c r="AA46" i="51"/>
  <c r="AF45" i="51"/>
  <c r="AE45" i="51"/>
  <c r="AD45" i="51"/>
  <c r="AC45" i="51"/>
  <c r="AB45" i="51"/>
  <c r="AA45" i="51"/>
  <c r="AF43" i="51"/>
  <c r="AE43" i="51"/>
  <c r="AD43" i="51"/>
  <c r="AC43" i="51"/>
  <c r="AB43" i="51"/>
  <c r="AA43" i="51"/>
  <c r="AF41" i="51"/>
  <c r="AE41" i="51"/>
  <c r="AD41" i="51"/>
  <c r="AC41" i="51"/>
  <c r="AB41" i="51"/>
  <c r="AA41" i="51"/>
  <c r="AF40" i="51"/>
  <c r="AE40" i="51"/>
  <c r="AD40" i="51"/>
  <c r="AC40" i="51"/>
  <c r="AB40" i="51"/>
  <c r="AA40" i="51"/>
  <c r="AF39" i="51"/>
  <c r="AE39" i="51"/>
  <c r="AD39" i="51"/>
  <c r="AC39" i="51"/>
  <c r="AB39" i="51"/>
  <c r="AA39" i="51"/>
  <c r="AF38" i="51"/>
  <c r="AE38" i="51"/>
  <c r="AD38" i="51"/>
  <c r="AC38" i="51"/>
  <c r="AB38" i="51"/>
  <c r="AA38" i="51"/>
  <c r="AF37" i="51"/>
  <c r="AE37" i="51"/>
  <c r="AD37" i="51"/>
  <c r="AC37" i="51"/>
  <c r="AB37" i="51"/>
  <c r="AA37" i="51"/>
  <c r="AF36" i="51"/>
  <c r="AE36" i="51"/>
  <c r="AD36" i="51"/>
  <c r="AC36" i="51"/>
  <c r="AB36" i="51"/>
  <c r="AA36" i="51"/>
  <c r="AF35" i="51"/>
  <c r="AE35" i="51"/>
  <c r="AD35" i="51"/>
  <c r="AC35" i="51"/>
  <c r="AB35" i="51"/>
  <c r="AA35" i="51"/>
  <c r="AF34" i="51"/>
  <c r="AE34" i="51"/>
  <c r="AE33" i="51" s="1"/>
  <c r="AD34" i="51"/>
  <c r="AC34" i="51"/>
  <c r="AB34" i="51"/>
  <c r="AA34" i="51"/>
  <c r="AA33" i="51" s="1"/>
  <c r="AF32" i="51"/>
  <c r="AE32" i="51"/>
  <c r="AD32" i="51"/>
  <c r="AC32" i="51"/>
  <c r="AB32" i="51"/>
  <c r="AA32" i="51"/>
  <c r="AF28" i="51"/>
  <c r="AE28" i="51"/>
  <c r="AD28" i="51"/>
  <c r="AC28" i="51"/>
  <c r="AB28" i="51"/>
  <c r="AA28" i="51"/>
  <c r="AF27" i="51"/>
  <c r="AE27" i="51"/>
  <c r="AD27" i="51"/>
  <c r="AC27" i="51"/>
  <c r="AB27" i="51"/>
  <c r="AA27" i="51"/>
  <c r="AF25" i="51"/>
  <c r="AE25" i="51"/>
  <c r="AD25" i="51"/>
  <c r="AC25" i="51"/>
  <c r="AB25" i="51"/>
  <c r="AA25" i="51"/>
  <c r="AF23" i="51"/>
  <c r="AE23" i="51"/>
  <c r="AD23" i="51"/>
  <c r="AC23" i="51"/>
  <c r="AB23" i="51"/>
  <c r="AA23" i="51"/>
  <c r="AF22" i="51"/>
  <c r="AE22" i="51"/>
  <c r="AD22" i="51"/>
  <c r="AC22" i="51"/>
  <c r="AB22" i="51"/>
  <c r="AA22" i="51"/>
  <c r="AF20" i="51"/>
  <c r="AE20" i="51"/>
  <c r="AD20" i="51"/>
  <c r="AC20" i="51"/>
  <c r="AB20" i="51"/>
  <c r="AA20" i="51"/>
  <c r="AF19" i="51"/>
  <c r="AE19" i="51"/>
  <c r="AD19" i="51"/>
  <c r="AC19" i="51"/>
  <c r="AB19" i="51"/>
  <c r="AA19" i="51"/>
  <c r="AF18" i="51"/>
  <c r="AE18" i="51"/>
  <c r="AD18" i="51"/>
  <c r="AC18" i="51"/>
  <c r="AB18" i="51"/>
  <c r="AA18" i="51"/>
  <c r="AF16" i="51"/>
  <c r="AE16" i="51"/>
  <c r="AD16" i="51"/>
  <c r="AC16" i="51"/>
  <c r="AB16" i="51"/>
  <c r="AA16" i="51"/>
  <c r="AF15" i="51"/>
  <c r="AE15" i="51"/>
  <c r="AD15" i="51"/>
  <c r="AC15" i="51"/>
  <c r="AB15" i="51"/>
  <c r="AA15" i="51"/>
  <c r="AA13" i="51"/>
  <c r="AB13" i="51"/>
  <c r="AC13" i="51"/>
  <c r="AD13" i="51"/>
  <c r="AE13" i="51"/>
  <c r="AF13" i="51"/>
  <c r="AB12" i="51"/>
  <c r="AC12" i="51"/>
  <c r="AD12" i="51"/>
  <c r="AE12" i="51"/>
  <c r="AF12" i="51"/>
  <c r="AA12" i="51"/>
  <c r="Y58" i="51"/>
  <c r="X58" i="51"/>
  <c r="W58" i="51"/>
  <c r="V58" i="51"/>
  <c r="U58" i="51"/>
  <c r="T58" i="51"/>
  <c r="Y56" i="51"/>
  <c r="X56" i="51"/>
  <c r="W56" i="51"/>
  <c r="V56" i="51"/>
  <c r="U56" i="51"/>
  <c r="T56" i="51"/>
  <c r="Y55" i="51"/>
  <c r="X55" i="51"/>
  <c r="W55" i="51"/>
  <c r="V55" i="51"/>
  <c r="U55" i="51"/>
  <c r="T55" i="51"/>
  <c r="Y54" i="51"/>
  <c r="X54" i="51"/>
  <c r="W54" i="51"/>
  <c r="V54" i="51"/>
  <c r="U54" i="51"/>
  <c r="T54" i="51"/>
  <c r="Y53" i="51"/>
  <c r="X53" i="51"/>
  <c r="W53" i="51"/>
  <c r="V53" i="51"/>
  <c r="U53" i="51"/>
  <c r="T53" i="51"/>
  <c r="Y51" i="51"/>
  <c r="X51" i="51"/>
  <c r="W51" i="51"/>
  <c r="V51" i="51"/>
  <c r="U51" i="51"/>
  <c r="T51" i="51"/>
  <c r="Y50" i="51"/>
  <c r="X50" i="51"/>
  <c r="W50" i="51"/>
  <c r="V50" i="51"/>
  <c r="U50" i="51"/>
  <c r="T50" i="51"/>
  <c r="Y48" i="51"/>
  <c r="X48" i="51"/>
  <c r="W48" i="51"/>
  <c r="V48" i="51"/>
  <c r="U48" i="51"/>
  <c r="T48" i="51"/>
  <c r="Y47" i="51"/>
  <c r="X47" i="51"/>
  <c r="W47" i="51"/>
  <c r="V47" i="51"/>
  <c r="U47" i="51"/>
  <c r="T47" i="51"/>
  <c r="Y46" i="51"/>
  <c r="X46" i="51"/>
  <c r="W46" i="51"/>
  <c r="V46" i="51"/>
  <c r="U46" i="51"/>
  <c r="T46" i="51"/>
  <c r="Y45" i="51"/>
  <c r="X45" i="51"/>
  <c r="W45" i="51"/>
  <c r="V45" i="51"/>
  <c r="U45" i="51"/>
  <c r="T45" i="51"/>
  <c r="Y43" i="51"/>
  <c r="X43" i="51"/>
  <c r="W43" i="51"/>
  <c r="V43" i="51"/>
  <c r="U43" i="51"/>
  <c r="T43" i="51"/>
  <c r="Y41" i="51"/>
  <c r="X41" i="51"/>
  <c r="W41" i="51"/>
  <c r="V41" i="51"/>
  <c r="U41" i="51"/>
  <c r="T41" i="51"/>
  <c r="Y40" i="51"/>
  <c r="X40" i="51"/>
  <c r="W40" i="51"/>
  <c r="V40" i="51"/>
  <c r="U40" i="51"/>
  <c r="T40" i="51"/>
  <c r="Y39" i="51"/>
  <c r="X39" i="51"/>
  <c r="W39" i="51"/>
  <c r="V39" i="51"/>
  <c r="U39" i="51"/>
  <c r="T39" i="51"/>
  <c r="Y38" i="51"/>
  <c r="X38" i="51"/>
  <c r="W38" i="51"/>
  <c r="V38" i="51"/>
  <c r="U38" i="51"/>
  <c r="T38" i="51"/>
  <c r="Y37" i="51"/>
  <c r="X37" i="51"/>
  <c r="W37" i="51"/>
  <c r="V37" i="51"/>
  <c r="U37" i="51"/>
  <c r="T37" i="51"/>
  <c r="Y36" i="51"/>
  <c r="X36" i="51"/>
  <c r="W36" i="51"/>
  <c r="V36" i="51"/>
  <c r="U36" i="51"/>
  <c r="T36" i="51"/>
  <c r="Y35" i="51"/>
  <c r="X35" i="51"/>
  <c r="W35" i="51"/>
  <c r="V35" i="51"/>
  <c r="U35" i="51"/>
  <c r="T35" i="51"/>
  <c r="Y34" i="51"/>
  <c r="X34" i="51"/>
  <c r="W34" i="51"/>
  <c r="V34" i="51"/>
  <c r="V33" i="51" s="1"/>
  <c r="U34" i="51"/>
  <c r="T34" i="51"/>
  <c r="Y32" i="51"/>
  <c r="X32" i="51"/>
  <c r="W32" i="51"/>
  <c r="V32" i="51"/>
  <c r="U32" i="51"/>
  <c r="T32" i="51"/>
  <c r="Y28" i="51"/>
  <c r="X28" i="51"/>
  <c r="W28" i="51"/>
  <c r="V28" i="51"/>
  <c r="U28" i="51"/>
  <c r="T28" i="51"/>
  <c r="Y27" i="51"/>
  <c r="X27" i="51"/>
  <c r="W27" i="51"/>
  <c r="V27" i="51"/>
  <c r="U27" i="51"/>
  <c r="T27" i="51"/>
  <c r="Y25" i="51"/>
  <c r="X25" i="51"/>
  <c r="W25" i="51"/>
  <c r="V25" i="51"/>
  <c r="U25" i="51"/>
  <c r="T25" i="51"/>
  <c r="Y23" i="51"/>
  <c r="X23" i="51"/>
  <c r="W23" i="51"/>
  <c r="V23" i="51"/>
  <c r="U23" i="51"/>
  <c r="T23" i="51"/>
  <c r="Y22" i="51"/>
  <c r="X22" i="51"/>
  <c r="W22" i="51"/>
  <c r="V22" i="51"/>
  <c r="U22" i="51"/>
  <c r="T22" i="51"/>
  <c r="Y20" i="51"/>
  <c r="X20" i="51"/>
  <c r="W20" i="51"/>
  <c r="V20" i="51"/>
  <c r="U20" i="51"/>
  <c r="T20" i="51"/>
  <c r="Y19" i="51"/>
  <c r="X19" i="51"/>
  <c r="W19" i="51"/>
  <c r="V19" i="51"/>
  <c r="U19" i="51"/>
  <c r="T19" i="51"/>
  <c r="Y18" i="51"/>
  <c r="X18" i="51"/>
  <c r="W18" i="51"/>
  <c r="V18" i="51"/>
  <c r="U18" i="51"/>
  <c r="T18" i="51"/>
  <c r="Y16" i="51"/>
  <c r="X16" i="51"/>
  <c r="W16" i="51"/>
  <c r="V16" i="51"/>
  <c r="U16" i="51"/>
  <c r="T16" i="51"/>
  <c r="Y15" i="51"/>
  <c r="X15" i="51"/>
  <c r="W15" i="51"/>
  <c r="V15" i="51"/>
  <c r="U15" i="51"/>
  <c r="T15" i="51"/>
  <c r="T13" i="51"/>
  <c r="U13" i="51"/>
  <c r="V13" i="51"/>
  <c r="W13" i="51"/>
  <c r="X13" i="51"/>
  <c r="Y13" i="51"/>
  <c r="U12" i="51"/>
  <c r="V12" i="51"/>
  <c r="W12" i="51"/>
  <c r="X12" i="51"/>
  <c r="Y12" i="51"/>
  <c r="T12" i="51"/>
  <c r="R58" i="51"/>
  <c r="Q58" i="51"/>
  <c r="P58" i="51"/>
  <c r="O58" i="51"/>
  <c r="N58" i="51"/>
  <c r="M58" i="51"/>
  <c r="R56" i="51"/>
  <c r="Q56" i="51"/>
  <c r="P56" i="51"/>
  <c r="O56" i="51"/>
  <c r="N56" i="51"/>
  <c r="M56" i="51"/>
  <c r="R55" i="51"/>
  <c r="Q55" i="51"/>
  <c r="P55" i="51"/>
  <c r="O55" i="51"/>
  <c r="N55" i="51"/>
  <c r="M55" i="51"/>
  <c r="R54" i="51"/>
  <c r="Q54" i="51"/>
  <c r="P54" i="51"/>
  <c r="O54" i="51"/>
  <c r="N54" i="51"/>
  <c r="M54" i="51"/>
  <c r="R53" i="51"/>
  <c r="Q53" i="51"/>
  <c r="P53" i="51"/>
  <c r="O53" i="51"/>
  <c r="N53" i="51"/>
  <c r="M53" i="51"/>
  <c r="R51" i="51"/>
  <c r="Q51" i="51"/>
  <c r="P51" i="51"/>
  <c r="O51" i="51"/>
  <c r="N51" i="51"/>
  <c r="M51" i="51"/>
  <c r="R50" i="51"/>
  <c r="Q50" i="51"/>
  <c r="P50" i="51"/>
  <c r="O50" i="51"/>
  <c r="N50" i="51"/>
  <c r="M50" i="51"/>
  <c r="R48" i="51"/>
  <c r="Q48" i="51"/>
  <c r="P48" i="51"/>
  <c r="O48" i="51"/>
  <c r="N48" i="51"/>
  <c r="M48" i="51"/>
  <c r="R47" i="51"/>
  <c r="Q47" i="51"/>
  <c r="P47" i="51"/>
  <c r="O47" i="51"/>
  <c r="N47" i="51"/>
  <c r="M47" i="51"/>
  <c r="R46" i="51"/>
  <c r="Q46" i="51"/>
  <c r="P46" i="51"/>
  <c r="O46" i="51"/>
  <c r="N46" i="51"/>
  <c r="M46" i="51"/>
  <c r="R45" i="51"/>
  <c r="Q45" i="51"/>
  <c r="P45" i="51"/>
  <c r="O45" i="51"/>
  <c r="N45" i="51"/>
  <c r="M45" i="51"/>
  <c r="R43" i="51"/>
  <c r="Q43" i="51"/>
  <c r="P43" i="51"/>
  <c r="O43" i="51"/>
  <c r="N43" i="51"/>
  <c r="M43" i="51"/>
  <c r="R41" i="51"/>
  <c r="Q41" i="51"/>
  <c r="P41" i="51"/>
  <c r="O41" i="51"/>
  <c r="N41" i="51"/>
  <c r="M41" i="51"/>
  <c r="R40" i="51"/>
  <c r="Q40" i="51"/>
  <c r="P40" i="51"/>
  <c r="O40" i="51"/>
  <c r="N40" i="51"/>
  <c r="M40" i="51"/>
  <c r="R39" i="51"/>
  <c r="Q39" i="51"/>
  <c r="P39" i="51"/>
  <c r="O39" i="51"/>
  <c r="N39" i="51"/>
  <c r="M39" i="51"/>
  <c r="R38" i="51"/>
  <c r="Q38" i="51"/>
  <c r="P38" i="51"/>
  <c r="O38" i="51"/>
  <c r="N38" i="51"/>
  <c r="M38" i="51"/>
  <c r="R37" i="51"/>
  <c r="Q37" i="51"/>
  <c r="P37" i="51"/>
  <c r="O37" i="51"/>
  <c r="N37" i="51"/>
  <c r="M37" i="51"/>
  <c r="R36" i="51"/>
  <c r="Q36" i="51"/>
  <c r="P36" i="51"/>
  <c r="O36" i="51"/>
  <c r="N36" i="51"/>
  <c r="M36" i="51"/>
  <c r="R35" i="51"/>
  <c r="Q35" i="51"/>
  <c r="P35" i="51"/>
  <c r="O35" i="51"/>
  <c r="N35" i="51"/>
  <c r="M35" i="51"/>
  <c r="R34" i="51"/>
  <c r="Q34" i="51"/>
  <c r="P34" i="51"/>
  <c r="O34" i="51"/>
  <c r="N34" i="51"/>
  <c r="M34" i="51"/>
  <c r="M33" i="51" s="1"/>
  <c r="R32" i="51"/>
  <c r="Q32" i="51"/>
  <c r="P32" i="51"/>
  <c r="O32" i="51"/>
  <c r="N32" i="51"/>
  <c r="M32" i="51"/>
  <c r="R28" i="51"/>
  <c r="Q28" i="51"/>
  <c r="P28" i="51"/>
  <c r="O28" i="51"/>
  <c r="N28" i="51"/>
  <c r="M28" i="51"/>
  <c r="R27" i="51"/>
  <c r="Q27" i="51"/>
  <c r="P27" i="51"/>
  <c r="O27" i="51"/>
  <c r="N27" i="51"/>
  <c r="M27" i="51"/>
  <c r="R25" i="51"/>
  <c r="Q25" i="51"/>
  <c r="P25" i="51"/>
  <c r="O25" i="51"/>
  <c r="N25" i="51"/>
  <c r="M25" i="51"/>
  <c r="R23" i="51"/>
  <c r="Q23" i="51"/>
  <c r="P23" i="51"/>
  <c r="O23" i="51"/>
  <c r="N23" i="51"/>
  <c r="M23" i="51"/>
  <c r="R22" i="51"/>
  <c r="Q22" i="51"/>
  <c r="P22" i="51"/>
  <c r="O22" i="51"/>
  <c r="N22" i="51"/>
  <c r="M22" i="51"/>
  <c r="R20" i="51"/>
  <c r="Q20" i="51"/>
  <c r="P20" i="51"/>
  <c r="O20" i="51"/>
  <c r="N20" i="51"/>
  <c r="M20" i="51"/>
  <c r="R19" i="51"/>
  <c r="Q19" i="51"/>
  <c r="P19" i="51"/>
  <c r="O19" i="51"/>
  <c r="N19" i="51"/>
  <c r="M19" i="51"/>
  <c r="R18" i="51"/>
  <c r="Q18" i="51"/>
  <c r="P18" i="51"/>
  <c r="O18" i="51"/>
  <c r="N18" i="51"/>
  <c r="M18" i="51"/>
  <c r="R16" i="51"/>
  <c r="Q16" i="51"/>
  <c r="P16" i="51"/>
  <c r="O16" i="51"/>
  <c r="N16" i="51"/>
  <c r="M16" i="51"/>
  <c r="R15" i="51"/>
  <c r="Q15" i="51"/>
  <c r="P15" i="51"/>
  <c r="O15" i="51"/>
  <c r="N15" i="51"/>
  <c r="M15" i="51"/>
  <c r="M13" i="51"/>
  <c r="N13" i="51"/>
  <c r="O13" i="51"/>
  <c r="P13" i="51"/>
  <c r="Q13" i="51"/>
  <c r="R13" i="51"/>
  <c r="N12" i="51"/>
  <c r="O12" i="51"/>
  <c r="P12" i="51"/>
  <c r="Q12" i="51"/>
  <c r="R12" i="51"/>
  <c r="M12" i="51"/>
  <c r="K58" i="51"/>
  <c r="J58" i="51"/>
  <c r="I58" i="51"/>
  <c r="H58" i="51"/>
  <c r="G58" i="51"/>
  <c r="F58" i="51"/>
  <c r="K56" i="51"/>
  <c r="J56" i="51"/>
  <c r="I56" i="51"/>
  <c r="H56" i="51"/>
  <c r="G56" i="51"/>
  <c r="F56" i="51"/>
  <c r="K55" i="51"/>
  <c r="J55" i="51"/>
  <c r="I55" i="51"/>
  <c r="H55" i="51"/>
  <c r="G55" i="51"/>
  <c r="F55" i="51"/>
  <c r="K54" i="51"/>
  <c r="J54" i="51"/>
  <c r="I54" i="51"/>
  <c r="H54" i="51"/>
  <c r="G54" i="51"/>
  <c r="F54" i="51"/>
  <c r="K53" i="51"/>
  <c r="J53" i="51"/>
  <c r="I53" i="51"/>
  <c r="H53" i="51"/>
  <c r="G53" i="51"/>
  <c r="F53" i="51"/>
  <c r="K51" i="51"/>
  <c r="J51" i="51"/>
  <c r="I51" i="51"/>
  <c r="H51" i="51"/>
  <c r="G51" i="51"/>
  <c r="F51" i="51"/>
  <c r="K50" i="51"/>
  <c r="J50" i="51"/>
  <c r="I50" i="51"/>
  <c r="H50" i="51"/>
  <c r="G50" i="51"/>
  <c r="F50" i="51"/>
  <c r="K48" i="51"/>
  <c r="J48" i="51"/>
  <c r="I48" i="51"/>
  <c r="H48" i="51"/>
  <c r="G48" i="51"/>
  <c r="F48" i="51"/>
  <c r="K47" i="51"/>
  <c r="J47" i="51"/>
  <c r="I47" i="51"/>
  <c r="H47" i="51"/>
  <c r="G47" i="51"/>
  <c r="F47" i="51"/>
  <c r="K46" i="51"/>
  <c r="J46" i="51"/>
  <c r="I46" i="51"/>
  <c r="H46" i="51"/>
  <c r="G46" i="51"/>
  <c r="F46" i="51"/>
  <c r="K45" i="51"/>
  <c r="J45" i="51"/>
  <c r="I45" i="51"/>
  <c r="H45" i="51"/>
  <c r="G45" i="51"/>
  <c r="F45" i="51"/>
  <c r="K43" i="51"/>
  <c r="J43" i="51"/>
  <c r="I43" i="51"/>
  <c r="H43" i="51"/>
  <c r="G43" i="51"/>
  <c r="F43" i="51"/>
  <c r="K41" i="51"/>
  <c r="J41" i="51"/>
  <c r="I41" i="51"/>
  <c r="H41" i="51"/>
  <c r="G41" i="51"/>
  <c r="F41" i="51"/>
  <c r="K40" i="51"/>
  <c r="J40" i="51"/>
  <c r="I40" i="51"/>
  <c r="H40" i="51"/>
  <c r="G40" i="51"/>
  <c r="F40" i="51"/>
  <c r="K39" i="51"/>
  <c r="J39" i="51"/>
  <c r="I39" i="51"/>
  <c r="H39" i="51"/>
  <c r="G39" i="51"/>
  <c r="F39" i="51"/>
  <c r="K38" i="51"/>
  <c r="J38" i="51"/>
  <c r="I38" i="51"/>
  <c r="H38" i="51"/>
  <c r="G38" i="51"/>
  <c r="F38" i="51"/>
  <c r="K37" i="51"/>
  <c r="J37" i="51"/>
  <c r="I37" i="51"/>
  <c r="H37" i="51"/>
  <c r="G37" i="51"/>
  <c r="F37" i="51"/>
  <c r="K36" i="51"/>
  <c r="J36" i="51"/>
  <c r="I36" i="51"/>
  <c r="H36" i="51"/>
  <c r="G36" i="51"/>
  <c r="F36" i="51"/>
  <c r="K35" i="51"/>
  <c r="J35" i="51"/>
  <c r="I35" i="51"/>
  <c r="H35" i="51"/>
  <c r="G35" i="51"/>
  <c r="F35" i="51"/>
  <c r="K34" i="51"/>
  <c r="J34" i="51"/>
  <c r="I34" i="51"/>
  <c r="H34" i="51"/>
  <c r="H33" i="51" s="1"/>
  <c r="G34" i="51"/>
  <c r="F34" i="51"/>
  <c r="K32" i="51"/>
  <c r="J32" i="51"/>
  <c r="I32" i="51"/>
  <c r="H32" i="51"/>
  <c r="G32" i="51"/>
  <c r="F32" i="51"/>
  <c r="K28" i="51"/>
  <c r="J28" i="51"/>
  <c r="I28" i="51"/>
  <c r="H28" i="51"/>
  <c r="G28" i="51"/>
  <c r="F28" i="51"/>
  <c r="K27" i="51"/>
  <c r="J27" i="51"/>
  <c r="I27" i="51"/>
  <c r="H27" i="51"/>
  <c r="G27" i="51"/>
  <c r="F27" i="51"/>
  <c r="K25" i="51"/>
  <c r="J25" i="51"/>
  <c r="I25" i="51"/>
  <c r="H25" i="51"/>
  <c r="G25" i="51"/>
  <c r="F25" i="51"/>
  <c r="K23" i="51"/>
  <c r="J23" i="51"/>
  <c r="I23" i="51"/>
  <c r="H23" i="51"/>
  <c r="G23" i="51"/>
  <c r="F23" i="51"/>
  <c r="K22" i="51"/>
  <c r="J22" i="51"/>
  <c r="I22" i="51"/>
  <c r="H22" i="51"/>
  <c r="G22" i="51"/>
  <c r="F22" i="51"/>
  <c r="K20" i="51"/>
  <c r="J20" i="51"/>
  <c r="I20" i="51"/>
  <c r="H20" i="51"/>
  <c r="G20" i="51"/>
  <c r="F20" i="51"/>
  <c r="K19" i="51"/>
  <c r="J19" i="51"/>
  <c r="I19" i="51"/>
  <c r="H19" i="51"/>
  <c r="G19" i="51"/>
  <c r="F19" i="51"/>
  <c r="K18" i="51"/>
  <c r="J18" i="51"/>
  <c r="I18" i="51"/>
  <c r="H18" i="51"/>
  <c r="G18" i="51"/>
  <c r="F18" i="51"/>
  <c r="K16" i="51"/>
  <c r="J16" i="51"/>
  <c r="I16" i="51"/>
  <c r="H16" i="51"/>
  <c r="G16" i="51"/>
  <c r="F16" i="51"/>
  <c r="K15" i="51"/>
  <c r="J15" i="51"/>
  <c r="I15" i="51"/>
  <c r="H15" i="51"/>
  <c r="G15" i="51"/>
  <c r="F15" i="51"/>
  <c r="F13" i="51"/>
  <c r="G13" i="51"/>
  <c r="H13" i="51"/>
  <c r="I13" i="51"/>
  <c r="J13" i="51"/>
  <c r="K13" i="51"/>
  <c r="G12" i="51"/>
  <c r="H12" i="51"/>
  <c r="I12" i="51"/>
  <c r="J12" i="51"/>
  <c r="K12" i="51"/>
  <c r="F12" i="51"/>
  <c r="E6" i="51"/>
  <c r="Q33" i="51" l="1"/>
  <c r="P33" i="51"/>
  <c r="U33" i="51"/>
  <c r="Y33" i="51"/>
  <c r="AD33" i="51"/>
  <c r="G33" i="51"/>
  <c r="K33" i="51"/>
  <c r="I33" i="51"/>
  <c r="N33" i="51"/>
  <c r="R33" i="51"/>
  <c r="W33" i="51"/>
  <c r="AB33" i="51"/>
  <c r="AF33" i="51"/>
  <c r="K91" i="51"/>
  <c r="U91" i="51"/>
  <c r="AC91" i="51"/>
  <c r="N91" i="51"/>
  <c r="AB91" i="51"/>
  <c r="AF91" i="51"/>
  <c r="M91" i="51"/>
  <c r="W91" i="51"/>
  <c r="AE91" i="51"/>
  <c r="P91" i="51"/>
  <c r="AD91" i="51"/>
  <c r="R91" i="51"/>
  <c r="J91" i="51"/>
  <c r="G91" i="51"/>
  <c r="O91" i="51"/>
  <c r="Y91" i="51"/>
  <c r="F91" i="51"/>
  <c r="T91" i="51"/>
  <c r="X91" i="51"/>
  <c r="I91" i="51"/>
  <c r="Q91" i="51"/>
  <c r="AA91" i="51"/>
  <c r="H91" i="51"/>
  <c r="V91" i="51"/>
  <c r="F33" i="51"/>
  <c r="J33" i="51"/>
  <c r="O33" i="51"/>
  <c r="T33" i="51"/>
  <c r="X33" i="51"/>
  <c r="AC33" i="51"/>
  <c r="K49" i="51"/>
  <c r="P49" i="51"/>
  <c r="U49" i="51"/>
  <c r="AE49" i="51"/>
  <c r="V49" i="51"/>
  <c r="M49" i="51"/>
  <c r="Q49" i="51"/>
  <c r="G49" i="51"/>
  <c r="AA49" i="51"/>
  <c r="Y49" i="51"/>
  <c r="H49" i="51"/>
  <c r="T101" i="51"/>
  <c r="U101" i="51"/>
  <c r="AA101" i="51"/>
  <c r="H101" i="51"/>
  <c r="M101" i="51"/>
  <c r="AD101" i="51"/>
  <c r="V101" i="51"/>
  <c r="K101" i="51"/>
  <c r="O101" i="51"/>
  <c r="AB101" i="51"/>
  <c r="I101" i="51"/>
  <c r="Y101" i="51"/>
  <c r="AC101" i="51"/>
  <c r="G101" i="51"/>
  <c r="J101" i="51"/>
  <c r="W101" i="51"/>
  <c r="F101" i="51"/>
  <c r="P101" i="51"/>
  <c r="X101" i="51"/>
  <c r="R101" i="51"/>
  <c r="AE101" i="51"/>
  <c r="AF101" i="51"/>
  <c r="N101" i="51"/>
  <c r="Q101" i="51"/>
  <c r="I49" i="51"/>
  <c r="F49" i="51"/>
  <c r="J49" i="51"/>
  <c r="F102" i="51"/>
  <c r="O49" i="51"/>
  <c r="T49" i="51"/>
  <c r="X49" i="51"/>
  <c r="AC49" i="51"/>
  <c r="N49" i="51"/>
  <c r="R49" i="51"/>
  <c r="W49" i="51"/>
  <c r="AB49" i="51"/>
  <c r="AF49" i="51"/>
  <c r="N88" i="51"/>
  <c r="K61" i="51"/>
  <c r="G61" i="51"/>
  <c r="I61" i="51"/>
  <c r="J61" i="51"/>
  <c r="H61" i="51"/>
  <c r="F61" i="51"/>
  <c r="K64" i="51"/>
  <c r="G64" i="51"/>
  <c r="I64" i="51"/>
  <c r="H64" i="51"/>
  <c r="F64" i="51"/>
  <c r="J64" i="51"/>
  <c r="K67" i="51"/>
  <c r="G67" i="51"/>
  <c r="I67" i="51"/>
  <c r="J67" i="51"/>
  <c r="H67" i="51"/>
  <c r="F67" i="51"/>
  <c r="F69" i="51"/>
  <c r="J69" i="51"/>
  <c r="H69" i="51"/>
  <c r="G69" i="51"/>
  <c r="I69" i="51"/>
  <c r="K69" i="51"/>
  <c r="I72" i="51"/>
  <c r="H72" i="51"/>
  <c r="G72" i="51"/>
  <c r="K72" i="51"/>
  <c r="J72" i="51"/>
  <c r="F72" i="51"/>
  <c r="K76" i="51"/>
  <c r="G76" i="51"/>
  <c r="J76" i="51"/>
  <c r="F76" i="51"/>
  <c r="I76" i="51"/>
  <c r="H76" i="51"/>
  <c r="K80" i="51"/>
  <c r="G80" i="51"/>
  <c r="J80" i="51"/>
  <c r="F80" i="51"/>
  <c r="I80" i="51"/>
  <c r="H80" i="51"/>
  <c r="K83" i="51"/>
  <c r="G83" i="51"/>
  <c r="J83" i="51"/>
  <c r="F83" i="51"/>
  <c r="I83" i="51"/>
  <c r="H83" i="51"/>
  <c r="K85" i="51"/>
  <c r="G85" i="51"/>
  <c r="J85" i="51"/>
  <c r="F85" i="51"/>
  <c r="I85" i="51"/>
  <c r="H85" i="51"/>
  <c r="I87" i="51"/>
  <c r="K87" i="51"/>
  <c r="G87" i="51"/>
  <c r="J87" i="51"/>
  <c r="H87" i="51"/>
  <c r="F87" i="51"/>
  <c r="I89" i="51"/>
  <c r="K89" i="51"/>
  <c r="G89" i="51"/>
  <c r="H89" i="51"/>
  <c r="F89" i="51"/>
  <c r="J89" i="51"/>
  <c r="I92" i="51"/>
  <c r="K92" i="51"/>
  <c r="G92" i="51"/>
  <c r="J92" i="51"/>
  <c r="H92" i="51"/>
  <c r="F92" i="51"/>
  <c r="I95" i="51"/>
  <c r="K95" i="51"/>
  <c r="G95" i="51"/>
  <c r="H95" i="51"/>
  <c r="F95" i="51"/>
  <c r="J95" i="51"/>
  <c r="I97" i="51"/>
  <c r="K97" i="51"/>
  <c r="G97" i="51"/>
  <c r="J97" i="51"/>
  <c r="H97" i="51"/>
  <c r="F97" i="51"/>
  <c r="I100" i="51"/>
  <c r="K100" i="51"/>
  <c r="G100" i="51"/>
  <c r="H100" i="51"/>
  <c r="F100" i="51"/>
  <c r="J100" i="51"/>
  <c r="I103" i="51"/>
  <c r="K103" i="51"/>
  <c r="G103" i="51"/>
  <c r="J103" i="51"/>
  <c r="H103" i="51"/>
  <c r="F103" i="51"/>
  <c r="I105" i="51"/>
  <c r="K105" i="51"/>
  <c r="G105" i="51"/>
  <c r="H105" i="51"/>
  <c r="F105" i="51"/>
  <c r="J105" i="51"/>
  <c r="P61" i="51"/>
  <c r="R61" i="51"/>
  <c r="N61" i="51"/>
  <c r="M61" i="51"/>
  <c r="Q61" i="51"/>
  <c r="O61" i="51"/>
  <c r="P64" i="51"/>
  <c r="R64" i="51"/>
  <c r="N64" i="51"/>
  <c r="Q64" i="51"/>
  <c r="O64" i="51"/>
  <c r="M64" i="51"/>
  <c r="P67" i="51"/>
  <c r="R67" i="51"/>
  <c r="N67" i="51"/>
  <c r="M67" i="51"/>
  <c r="Q67" i="51"/>
  <c r="O67" i="51"/>
  <c r="O69" i="51"/>
  <c r="M69" i="51"/>
  <c r="Q69" i="51"/>
  <c r="N69" i="51"/>
  <c r="P69" i="51"/>
  <c r="R69" i="51"/>
  <c r="R72" i="51"/>
  <c r="N72" i="51"/>
  <c r="Q72" i="51"/>
  <c r="M72" i="51"/>
  <c r="P72" i="51"/>
  <c r="O72" i="51"/>
  <c r="P76" i="51"/>
  <c r="O76" i="51"/>
  <c r="R76" i="51"/>
  <c r="N76" i="51"/>
  <c r="M76" i="51"/>
  <c r="Q76" i="51"/>
  <c r="P80" i="51"/>
  <c r="O80" i="51"/>
  <c r="N80" i="51"/>
  <c r="R80" i="51"/>
  <c r="Q80" i="51"/>
  <c r="M80" i="51"/>
  <c r="P83" i="51"/>
  <c r="O83" i="51"/>
  <c r="R83" i="51"/>
  <c r="N83" i="51"/>
  <c r="Q83" i="51"/>
  <c r="M83" i="51"/>
  <c r="R85" i="51"/>
  <c r="P85" i="51"/>
  <c r="Q85" i="51"/>
  <c r="O85" i="51"/>
  <c r="N85" i="51"/>
  <c r="M85" i="51"/>
  <c r="R87" i="51"/>
  <c r="N87" i="51"/>
  <c r="P87" i="51"/>
  <c r="M87" i="51"/>
  <c r="Q87" i="51"/>
  <c r="O87" i="51"/>
  <c r="R89" i="51"/>
  <c r="N89" i="51"/>
  <c r="P89" i="51"/>
  <c r="Q89" i="51"/>
  <c r="O89" i="51"/>
  <c r="M89" i="51"/>
  <c r="R92" i="51"/>
  <c r="N92" i="51"/>
  <c r="P92" i="51"/>
  <c r="M92" i="51"/>
  <c r="Q92" i="51"/>
  <c r="O92" i="51"/>
  <c r="R95" i="51"/>
  <c r="N95" i="51"/>
  <c r="P95" i="51"/>
  <c r="Q95" i="51"/>
  <c r="O95" i="51"/>
  <c r="M95" i="51"/>
  <c r="R97" i="51"/>
  <c r="N97" i="51"/>
  <c r="P97" i="51"/>
  <c r="M97" i="51"/>
  <c r="Q97" i="51"/>
  <c r="O97" i="51"/>
  <c r="R100" i="51"/>
  <c r="N100" i="51"/>
  <c r="P100" i="51"/>
  <c r="Q100" i="51"/>
  <c r="O100" i="51"/>
  <c r="M100" i="51"/>
  <c r="R103" i="51"/>
  <c r="N103" i="51"/>
  <c r="P103" i="51"/>
  <c r="M103" i="51"/>
  <c r="Q103" i="51"/>
  <c r="O103" i="51"/>
  <c r="R105" i="51"/>
  <c r="N105" i="51"/>
  <c r="P105" i="51"/>
  <c r="Q105" i="51"/>
  <c r="O105" i="51"/>
  <c r="M105" i="51"/>
  <c r="X61" i="51"/>
  <c r="W61" i="51"/>
  <c r="T61" i="51"/>
  <c r="Y61" i="51"/>
  <c r="V61" i="51"/>
  <c r="U61" i="51"/>
  <c r="Y64" i="51"/>
  <c r="U64" i="51"/>
  <c r="W64" i="51"/>
  <c r="X64" i="51"/>
  <c r="V64" i="51"/>
  <c r="T64" i="51"/>
  <c r="Y67" i="51"/>
  <c r="U67" i="51"/>
  <c r="W67" i="51"/>
  <c r="V67" i="51"/>
  <c r="T67" i="51"/>
  <c r="X67" i="51"/>
  <c r="T69" i="51"/>
  <c r="X69" i="51"/>
  <c r="V69" i="51"/>
  <c r="W69" i="51"/>
  <c r="Y69" i="51"/>
  <c r="U69" i="51"/>
  <c r="W72" i="51"/>
  <c r="V72" i="51"/>
  <c r="Y72" i="51"/>
  <c r="U72" i="51"/>
  <c r="T72" i="51"/>
  <c r="X72" i="51"/>
  <c r="Y76" i="51"/>
  <c r="U76" i="51"/>
  <c r="X76" i="51"/>
  <c r="T76" i="51"/>
  <c r="W76" i="51"/>
  <c r="V76" i="51"/>
  <c r="Y80" i="51"/>
  <c r="U80" i="51"/>
  <c r="X80" i="51"/>
  <c r="T80" i="51"/>
  <c r="W80" i="51"/>
  <c r="V80" i="51"/>
  <c r="Y83" i="51"/>
  <c r="U83" i="51"/>
  <c r="X83" i="51"/>
  <c r="T83" i="51"/>
  <c r="W83" i="51"/>
  <c r="V83" i="51"/>
  <c r="W85" i="51"/>
  <c r="Y85" i="51"/>
  <c r="U85" i="51"/>
  <c r="X85" i="51"/>
  <c r="V85" i="51"/>
  <c r="T85" i="51"/>
  <c r="W87" i="51"/>
  <c r="Y87" i="51"/>
  <c r="U87" i="51"/>
  <c r="V87" i="51"/>
  <c r="T87" i="51"/>
  <c r="X87" i="51"/>
  <c r="W89" i="51"/>
  <c r="Y89" i="51"/>
  <c r="U89" i="51"/>
  <c r="X89" i="51"/>
  <c r="V89" i="51"/>
  <c r="T89" i="51"/>
  <c r="W92" i="51"/>
  <c r="Y92" i="51"/>
  <c r="U92" i="51"/>
  <c r="V92" i="51"/>
  <c r="T92" i="51"/>
  <c r="X92" i="51"/>
  <c r="W95" i="51"/>
  <c r="Y95" i="51"/>
  <c r="U95" i="51"/>
  <c r="X95" i="51"/>
  <c r="V95" i="51"/>
  <c r="T95" i="51"/>
  <c r="W97" i="51"/>
  <c r="Y97" i="51"/>
  <c r="U97" i="51"/>
  <c r="V97" i="51"/>
  <c r="T97" i="51"/>
  <c r="X97" i="51"/>
  <c r="W100" i="51"/>
  <c r="Y100" i="51"/>
  <c r="U100" i="51"/>
  <c r="X100" i="51"/>
  <c r="V100" i="51"/>
  <c r="T100" i="51"/>
  <c r="W103" i="51"/>
  <c r="Y103" i="51"/>
  <c r="U103" i="51"/>
  <c r="V103" i="51"/>
  <c r="T103" i="51"/>
  <c r="X103" i="51"/>
  <c r="W105" i="51"/>
  <c r="Y105" i="51"/>
  <c r="U105" i="51"/>
  <c r="X105" i="51"/>
  <c r="V105" i="51"/>
  <c r="T105" i="51"/>
  <c r="I84" i="51"/>
  <c r="H84" i="51"/>
  <c r="G84" i="51"/>
  <c r="K84" i="51"/>
  <c r="J84" i="51"/>
  <c r="F84" i="51"/>
  <c r="K86" i="51"/>
  <c r="G86" i="51"/>
  <c r="I86" i="51"/>
  <c r="F86" i="51"/>
  <c r="J86" i="51"/>
  <c r="H86" i="51"/>
  <c r="K88" i="51"/>
  <c r="G88" i="51"/>
  <c r="I88" i="51"/>
  <c r="J88" i="51"/>
  <c r="H88" i="51"/>
  <c r="F88" i="51"/>
  <c r="K90" i="51"/>
  <c r="G90" i="51"/>
  <c r="I90" i="51"/>
  <c r="F90" i="51"/>
  <c r="J90" i="51"/>
  <c r="H90" i="51"/>
  <c r="K94" i="51"/>
  <c r="G94" i="51"/>
  <c r="I94" i="51"/>
  <c r="J94" i="51"/>
  <c r="H94" i="51"/>
  <c r="F94" i="51"/>
  <c r="P74" i="51"/>
  <c r="O74" i="51"/>
  <c r="N74" i="51"/>
  <c r="R74" i="51"/>
  <c r="Q74" i="51"/>
  <c r="M74" i="51"/>
  <c r="R77" i="51"/>
  <c r="N77" i="51"/>
  <c r="Q77" i="51"/>
  <c r="M77" i="51"/>
  <c r="P77" i="51"/>
  <c r="O77" i="51"/>
  <c r="R81" i="51"/>
  <c r="N81" i="51"/>
  <c r="Q81" i="51"/>
  <c r="M81" i="51"/>
  <c r="P81" i="51"/>
  <c r="O81" i="51"/>
  <c r="R84" i="51"/>
  <c r="N84" i="51"/>
  <c r="Q84" i="51"/>
  <c r="M84" i="51"/>
  <c r="P84" i="51"/>
  <c r="O84" i="51"/>
  <c r="P86" i="51"/>
  <c r="R86" i="51"/>
  <c r="N86" i="51"/>
  <c r="O86" i="51"/>
  <c r="M86" i="51"/>
  <c r="Q86" i="51"/>
  <c r="P88" i="51"/>
  <c r="R88" i="51"/>
  <c r="Q88" i="51"/>
  <c r="O88" i="51"/>
  <c r="M88" i="51"/>
  <c r="P90" i="51"/>
  <c r="R90" i="51"/>
  <c r="N90" i="51"/>
  <c r="O90" i="51"/>
  <c r="M90" i="51"/>
  <c r="Q90" i="51"/>
  <c r="P94" i="51"/>
  <c r="R94" i="51"/>
  <c r="N94" i="51"/>
  <c r="Q94" i="51"/>
  <c r="O94" i="51"/>
  <c r="M94" i="51"/>
  <c r="P96" i="51"/>
  <c r="R96" i="51"/>
  <c r="N96" i="51"/>
  <c r="O96" i="51"/>
  <c r="M96" i="51"/>
  <c r="Q96" i="51"/>
  <c r="P99" i="51"/>
  <c r="R99" i="51"/>
  <c r="N99" i="51"/>
  <c r="Q99" i="51"/>
  <c r="O99" i="51"/>
  <c r="M99" i="51"/>
  <c r="P102" i="51"/>
  <c r="R102" i="51"/>
  <c r="N102" i="51"/>
  <c r="O102" i="51"/>
  <c r="M102" i="51"/>
  <c r="Q102" i="51"/>
  <c r="P104" i="51"/>
  <c r="R104" i="51"/>
  <c r="N104" i="51"/>
  <c r="Q104" i="51"/>
  <c r="O104" i="51"/>
  <c r="M104" i="51"/>
  <c r="O107" i="51"/>
  <c r="Q107" i="51"/>
  <c r="M107" i="51"/>
  <c r="N107" i="51"/>
  <c r="R107" i="51"/>
  <c r="P107" i="51"/>
  <c r="W65" i="51"/>
  <c r="Y65" i="51"/>
  <c r="U65" i="51"/>
  <c r="X65" i="51"/>
  <c r="V65" i="51"/>
  <c r="T65" i="51"/>
  <c r="W68" i="51"/>
  <c r="Y68" i="51"/>
  <c r="U68" i="51"/>
  <c r="T68" i="51"/>
  <c r="X68" i="51"/>
  <c r="V68" i="51"/>
  <c r="W71" i="51"/>
  <c r="Y71" i="51"/>
  <c r="U71" i="51"/>
  <c r="X71" i="51"/>
  <c r="V71" i="51"/>
  <c r="T71" i="51"/>
  <c r="Y74" i="51"/>
  <c r="U74" i="51"/>
  <c r="X74" i="51"/>
  <c r="T74" i="51"/>
  <c r="W74" i="51"/>
  <c r="V74" i="51"/>
  <c r="W77" i="51"/>
  <c r="V77" i="51"/>
  <c r="Y77" i="51"/>
  <c r="U77" i="51"/>
  <c r="X77" i="51"/>
  <c r="T77" i="51"/>
  <c r="W81" i="51"/>
  <c r="V81" i="51"/>
  <c r="U81" i="51"/>
  <c r="Y81" i="51"/>
  <c r="X81" i="51"/>
  <c r="T81" i="51"/>
  <c r="W84" i="51"/>
  <c r="V84" i="51"/>
  <c r="Y84" i="51"/>
  <c r="U84" i="51"/>
  <c r="T84" i="51"/>
  <c r="X84" i="51"/>
  <c r="Y86" i="51"/>
  <c r="U86" i="51"/>
  <c r="W86" i="51"/>
  <c r="X86" i="51"/>
  <c r="V86" i="51"/>
  <c r="T86" i="51"/>
  <c r="Y88" i="51"/>
  <c r="U88" i="51"/>
  <c r="W88" i="51"/>
  <c r="T88" i="51"/>
  <c r="X88" i="51"/>
  <c r="V88" i="51"/>
  <c r="Y90" i="51"/>
  <c r="U90" i="51"/>
  <c r="W90" i="51"/>
  <c r="X90" i="51"/>
  <c r="V90" i="51"/>
  <c r="T90" i="51"/>
  <c r="Y94" i="51"/>
  <c r="U94" i="51"/>
  <c r="W94" i="51"/>
  <c r="T94" i="51"/>
  <c r="X94" i="51"/>
  <c r="V94" i="51"/>
  <c r="Y96" i="51"/>
  <c r="U96" i="51"/>
  <c r="W96" i="51"/>
  <c r="X96" i="51"/>
  <c r="V96" i="51"/>
  <c r="T96" i="51"/>
  <c r="Y99" i="51"/>
  <c r="Y98" i="51" s="1"/>
  <c r="U99" i="51"/>
  <c r="W99" i="51"/>
  <c r="T99" i="51"/>
  <c r="X99" i="51"/>
  <c r="V99" i="51"/>
  <c r="Y102" i="51"/>
  <c r="U102" i="51"/>
  <c r="W102" i="51"/>
  <c r="X102" i="51"/>
  <c r="V102" i="51"/>
  <c r="T102" i="51"/>
  <c r="Y104" i="51"/>
  <c r="U104" i="51"/>
  <c r="W104" i="51"/>
  <c r="T104" i="51"/>
  <c r="X104" i="51"/>
  <c r="V104" i="51"/>
  <c r="X107" i="51"/>
  <c r="T107" i="51"/>
  <c r="V107" i="51"/>
  <c r="W107" i="51"/>
  <c r="U107" i="51"/>
  <c r="Y107" i="51"/>
  <c r="I65" i="51"/>
  <c r="K65" i="51"/>
  <c r="G65" i="51"/>
  <c r="F65" i="51"/>
  <c r="J65" i="51"/>
  <c r="H65" i="51"/>
  <c r="I68" i="51"/>
  <c r="K68" i="51"/>
  <c r="G68" i="51"/>
  <c r="J68" i="51"/>
  <c r="H68" i="51"/>
  <c r="F68" i="51"/>
  <c r="I71" i="51"/>
  <c r="K71" i="51"/>
  <c r="G71" i="51"/>
  <c r="F71" i="51"/>
  <c r="J71" i="51"/>
  <c r="H71" i="51"/>
  <c r="K74" i="51"/>
  <c r="G74" i="51"/>
  <c r="J74" i="51"/>
  <c r="F74" i="51"/>
  <c r="I74" i="51"/>
  <c r="H74" i="51"/>
  <c r="I77" i="51"/>
  <c r="H77" i="51"/>
  <c r="G77" i="51"/>
  <c r="K77" i="51"/>
  <c r="J77" i="51"/>
  <c r="F77" i="51"/>
  <c r="I81" i="51"/>
  <c r="H81" i="51"/>
  <c r="K81" i="51"/>
  <c r="G81" i="51"/>
  <c r="F81" i="51"/>
  <c r="J81" i="51"/>
  <c r="K96" i="51"/>
  <c r="G96" i="51"/>
  <c r="I96" i="51"/>
  <c r="F96" i="51"/>
  <c r="J96" i="51"/>
  <c r="H96" i="51"/>
  <c r="K99" i="51"/>
  <c r="G99" i="51"/>
  <c r="I99" i="51"/>
  <c r="J99" i="51"/>
  <c r="H99" i="51"/>
  <c r="F99" i="51"/>
  <c r="K102" i="51"/>
  <c r="G102" i="51"/>
  <c r="I102" i="51"/>
  <c r="J102" i="51"/>
  <c r="H102" i="51"/>
  <c r="K104" i="51"/>
  <c r="G104" i="51"/>
  <c r="I104" i="51"/>
  <c r="J104" i="51"/>
  <c r="H104" i="51"/>
  <c r="F104" i="51"/>
  <c r="J107" i="51"/>
  <c r="F107" i="51"/>
  <c r="H107" i="51"/>
  <c r="K107" i="51"/>
  <c r="I107" i="51"/>
  <c r="G107" i="51"/>
  <c r="R65" i="51"/>
  <c r="N65" i="51"/>
  <c r="P65" i="51"/>
  <c r="O65" i="51"/>
  <c r="M65" i="51"/>
  <c r="Q65" i="51"/>
  <c r="R68" i="51"/>
  <c r="N68" i="51"/>
  <c r="P68" i="51"/>
  <c r="Q68" i="51"/>
  <c r="O68" i="51"/>
  <c r="M68" i="51"/>
  <c r="R71" i="51"/>
  <c r="N71" i="51"/>
  <c r="P71" i="51"/>
  <c r="O71" i="51"/>
  <c r="M71" i="51"/>
  <c r="Q71" i="51"/>
  <c r="R75" i="51"/>
  <c r="P75" i="51"/>
  <c r="U75" i="51"/>
  <c r="I75" i="51"/>
  <c r="J75" i="51"/>
  <c r="AB75" i="51"/>
  <c r="Q75" i="51"/>
  <c r="AF75" i="51"/>
  <c r="N75" i="51"/>
  <c r="O75" i="51"/>
  <c r="Y75" i="51"/>
  <c r="H75" i="51"/>
  <c r="F75" i="51"/>
  <c r="AE75" i="51"/>
  <c r="X75" i="51"/>
  <c r="AC75" i="51"/>
  <c r="M75" i="51"/>
  <c r="V75" i="51"/>
  <c r="T75" i="51"/>
  <c r="G75" i="51"/>
  <c r="AD75" i="51"/>
  <c r="AA75" i="51"/>
  <c r="W75" i="51"/>
  <c r="K75" i="51"/>
  <c r="Q106" i="51"/>
  <c r="N106" i="51"/>
  <c r="J106" i="51"/>
  <c r="V106" i="51"/>
  <c r="W106" i="51"/>
  <c r="AA106" i="51"/>
  <c r="O106" i="51"/>
  <c r="H106" i="51"/>
  <c r="K106" i="51"/>
  <c r="AE106" i="51"/>
  <c r="M106" i="51"/>
  <c r="R106" i="51"/>
  <c r="F106" i="51"/>
  <c r="X106" i="51"/>
  <c r="U106" i="51"/>
  <c r="AF106" i="51"/>
  <c r="T106" i="51"/>
  <c r="AD106" i="51"/>
  <c r="P106" i="51"/>
  <c r="G106" i="51"/>
  <c r="I106" i="51"/>
  <c r="Y106" i="51"/>
  <c r="AC106" i="51"/>
  <c r="AB106" i="51"/>
  <c r="H62" i="51"/>
  <c r="F62" i="51"/>
  <c r="J62" i="51"/>
  <c r="K62" i="51"/>
  <c r="G62" i="51"/>
  <c r="I62" i="51"/>
  <c r="M62" i="51"/>
  <c r="Q62" i="51"/>
  <c r="O62" i="51"/>
  <c r="N62" i="51"/>
  <c r="P62" i="51"/>
  <c r="R62" i="51"/>
  <c r="V62" i="51"/>
  <c r="T62" i="51"/>
  <c r="X62" i="51"/>
  <c r="U62" i="51"/>
  <c r="W62" i="51"/>
  <c r="Y62" i="51"/>
  <c r="AF61" i="51"/>
  <c r="AD61" i="51"/>
  <c r="AB61" i="51"/>
  <c r="AE61" i="51"/>
  <c r="AC61" i="51"/>
  <c r="AA61" i="51"/>
  <c r="AF64" i="51"/>
  <c r="AD64" i="51"/>
  <c r="AB64" i="51"/>
  <c r="AE64" i="51"/>
  <c r="AC64" i="51"/>
  <c r="AA64" i="51"/>
  <c r="AF65" i="51"/>
  <c r="AD65" i="51"/>
  <c r="AB65" i="51"/>
  <c r="AE65" i="51"/>
  <c r="AC65" i="51"/>
  <c r="AA65" i="51"/>
  <c r="AF67" i="51"/>
  <c r="AD67" i="51"/>
  <c r="AB67" i="51"/>
  <c r="AE67" i="51"/>
  <c r="AC67" i="51"/>
  <c r="AA67" i="51"/>
  <c r="AF68" i="51"/>
  <c r="AD68" i="51"/>
  <c r="AB68" i="51"/>
  <c r="AE68" i="51"/>
  <c r="AC68" i="51"/>
  <c r="AA68" i="51"/>
  <c r="AA69" i="51"/>
  <c r="AC69" i="51"/>
  <c r="AE69" i="51"/>
  <c r="AB69" i="51"/>
  <c r="AD69" i="51"/>
  <c r="AF69" i="51"/>
  <c r="AF71" i="51"/>
  <c r="AE71" i="51"/>
  <c r="AD71" i="51"/>
  <c r="AB71" i="51"/>
  <c r="AC71" i="51"/>
  <c r="AA71" i="51"/>
  <c r="AF72" i="51"/>
  <c r="AD72" i="51"/>
  <c r="AB72" i="51"/>
  <c r="AE72" i="51"/>
  <c r="AC72" i="51"/>
  <c r="AA72" i="51"/>
  <c r="AF74" i="51"/>
  <c r="AD74" i="51"/>
  <c r="AB74" i="51"/>
  <c r="AE74" i="51"/>
  <c r="AC74" i="51"/>
  <c r="AA74" i="51"/>
  <c r="AF76" i="51"/>
  <c r="AD76" i="51"/>
  <c r="AB76" i="51"/>
  <c r="AE76" i="51"/>
  <c r="AC76" i="51"/>
  <c r="AA76" i="51"/>
  <c r="AF77" i="51"/>
  <c r="AD77" i="51"/>
  <c r="AB77" i="51"/>
  <c r="AE77" i="51"/>
  <c r="AC77" i="51"/>
  <c r="AA77" i="51"/>
  <c r="AF80" i="51"/>
  <c r="AD80" i="51"/>
  <c r="AB80" i="51"/>
  <c r="AE80" i="51"/>
  <c r="AC80" i="51"/>
  <c r="AA80" i="51"/>
  <c r="AF81" i="51"/>
  <c r="AD81" i="51"/>
  <c r="AB81" i="51"/>
  <c r="AE81" i="51"/>
  <c r="AC81" i="51"/>
  <c r="AA81" i="51"/>
  <c r="AF83" i="51"/>
  <c r="AD83" i="51"/>
  <c r="AB83" i="51"/>
  <c r="AE83" i="51"/>
  <c r="AC83" i="51"/>
  <c r="AA83" i="51"/>
  <c r="AF84" i="51"/>
  <c r="AD84" i="51"/>
  <c r="AB84" i="51"/>
  <c r="AE84" i="51"/>
  <c r="AC84" i="51"/>
  <c r="AA84" i="51"/>
  <c r="AF85" i="51"/>
  <c r="AD85" i="51"/>
  <c r="AB85" i="51"/>
  <c r="AE85" i="51"/>
  <c r="AC85" i="51"/>
  <c r="AA85" i="51"/>
  <c r="AF86" i="51"/>
  <c r="AD86" i="51"/>
  <c r="AB86" i="51"/>
  <c r="AE86" i="51"/>
  <c r="AC86" i="51"/>
  <c r="AA86" i="51"/>
  <c r="AF87" i="51"/>
  <c r="AD87" i="51"/>
  <c r="AB87" i="51"/>
  <c r="AE87" i="51"/>
  <c r="AC87" i="51"/>
  <c r="AA87" i="51"/>
  <c r="AF88" i="51"/>
  <c r="AD88" i="51"/>
  <c r="AB88" i="51"/>
  <c r="AE88" i="51"/>
  <c r="AC88" i="51"/>
  <c r="AA88" i="51"/>
  <c r="AF89" i="51"/>
  <c r="AD89" i="51"/>
  <c r="AB89" i="51"/>
  <c r="AE89" i="51"/>
  <c r="AC89" i="51"/>
  <c r="AA89" i="51"/>
  <c r="AF90" i="51"/>
  <c r="AD90" i="51"/>
  <c r="AB90" i="51"/>
  <c r="AE90" i="51"/>
  <c r="AC90" i="51"/>
  <c r="AA90" i="51"/>
  <c r="AF92" i="51"/>
  <c r="AD92" i="51"/>
  <c r="AB92" i="51"/>
  <c r="AE92" i="51"/>
  <c r="AC92" i="51"/>
  <c r="AA92" i="51"/>
  <c r="AF94" i="51"/>
  <c r="AD94" i="51"/>
  <c r="AB94" i="51"/>
  <c r="AE94" i="51"/>
  <c r="AC94" i="51"/>
  <c r="AA94" i="51"/>
  <c r="AF95" i="51"/>
  <c r="AD95" i="51"/>
  <c r="AB95" i="51"/>
  <c r="AE95" i="51"/>
  <c r="AC95" i="51"/>
  <c r="AA95" i="51"/>
  <c r="AF96" i="51"/>
  <c r="AD96" i="51"/>
  <c r="AB96" i="51"/>
  <c r="AE96" i="51"/>
  <c r="AC96" i="51"/>
  <c r="AA96" i="51"/>
  <c r="AF97" i="51"/>
  <c r="AD97" i="51"/>
  <c r="AB97" i="51"/>
  <c r="AE97" i="51"/>
  <c r="AC97" i="51"/>
  <c r="AA97" i="51"/>
  <c r="AF99" i="51"/>
  <c r="AD99" i="51"/>
  <c r="AB99" i="51"/>
  <c r="AE99" i="51"/>
  <c r="AC99" i="51"/>
  <c r="AA99" i="51"/>
  <c r="AF100" i="51"/>
  <c r="AD100" i="51"/>
  <c r="AB100" i="51"/>
  <c r="AE100" i="51"/>
  <c r="AC100" i="51"/>
  <c r="AA100" i="51"/>
  <c r="AF102" i="51"/>
  <c r="AD102" i="51"/>
  <c r="AB102" i="51"/>
  <c r="AE102" i="51"/>
  <c r="AC102" i="51"/>
  <c r="AA102" i="51"/>
  <c r="AF103" i="51"/>
  <c r="AD103" i="51"/>
  <c r="AB103" i="51"/>
  <c r="AE103" i="51"/>
  <c r="AC103" i="51"/>
  <c r="AA103" i="51"/>
  <c r="AF104" i="51"/>
  <c r="AD104" i="51"/>
  <c r="AB104" i="51"/>
  <c r="AE104" i="51"/>
  <c r="AC104" i="51"/>
  <c r="AA104" i="51"/>
  <c r="AF105" i="51"/>
  <c r="AD105" i="51"/>
  <c r="AB105" i="51"/>
  <c r="AE105" i="51"/>
  <c r="AC105" i="51"/>
  <c r="AA105" i="51"/>
  <c r="AE107" i="51"/>
  <c r="AC107" i="51"/>
  <c r="AA107" i="51"/>
  <c r="AF107" i="51"/>
  <c r="AD107" i="51"/>
  <c r="AB107" i="51"/>
  <c r="AA62" i="51"/>
  <c r="AC62" i="51"/>
  <c r="AE62" i="51"/>
  <c r="AB62" i="51"/>
  <c r="AD62" i="51"/>
  <c r="AF62" i="51"/>
  <c r="Y82" i="51" l="1"/>
  <c r="F82" i="51"/>
  <c r="AB82" i="51"/>
  <c r="I82" i="51"/>
  <c r="AA82" i="51"/>
  <c r="M82" i="51"/>
  <c r="AC82" i="51"/>
  <c r="AF82" i="51"/>
  <c r="X82" i="51"/>
  <c r="Q82" i="51"/>
  <c r="P82" i="51"/>
  <c r="J82" i="51"/>
  <c r="W82" i="51"/>
  <c r="R82" i="51"/>
  <c r="K82" i="51"/>
  <c r="AD82" i="51"/>
  <c r="T82" i="51"/>
  <c r="O82" i="51"/>
  <c r="AE82" i="51"/>
  <c r="V82" i="51"/>
  <c r="U82" i="51"/>
  <c r="N82" i="51"/>
  <c r="H82" i="51"/>
  <c r="G82" i="51"/>
  <c r="F98" i="51"/>
  <c r="H98" i="51"/>
  <c r="K98" i="51"/>
  <c r="G98" i="51"/>
  <c r="T98" i="51"/>
  <c r="U98" i="51"/>
  <c r="M98" i="51"/>
  <c r="Q98" i="51"/>
  <c r="R98" i="51"/>
  <c r="O98" i="51"/>
  <c r="AB98" i="51"/>
  <c r="AD98" i="51"/>
  <c r="AC98" i="51"/>
  <c r="AE98" i="51"/>
  <c r="I98" i="51"/>
  <c r="X98" i="51"/>
  <c r="P98" i="51"/>
  <c r="W98" i="51"/>
  <c r="N98" i="51"/>
  <c r="AA98" i="51"/>
  <c r="AF98" i="51"/>
  <c r="J98" i="51"/>
  <c r="V98" i="51"/>
  <c r="G9" i="5"/>
  <c r="X86" i="53" l="1"/>
  <c r="Y86" i="53"/>
  <c r="Z86" i="53"/>
  <c r="AA86" i="53"/>
  <c r="AB86" i="53"/>
  <c r="AC86" i="53"/>
  <c r="AD86" i="53"/>
  <c r="Q83" i="53"/>
  <c r="W83" i="53" s="1"/>
  <c r="Q82" i="53"/>
  <c r="W82" i="53" s="1"/>
  <c r="Q81" i="53"/>
  <c r="W81" i="53" s="1"/>
  <c r="Q80" i="53"/>
  <c r="W80" i="53" s="1"/>
  <c r="Q78" i="53"/>
  <c r="W78" i="53" s="1"/>
  <c r="Q77" i="53"/>
  <c r="W77" i="53" s="1"/>
  <c r="Q76" i="53"/>
  <c r="W76" i="53" s="1"/>
  <c r="Q75" i="53"/>
  <c r="W75" i="53" s="1"/>
  <c r="Q74" i="53"/>
  <c r="W74" i="53" s="1"/>
  <c r="Q73" i="53"/>
  <c r="W73" i="53" s="1"/>
  <c r="Q71" i="53"/>
  <c r="W71" i="53" s="1"/>
  <c r="Q69" i="53"/>
  <c r="V69" i="53" s="1"/>
  <c r="Q68" i="53"/>
  <c r="W68" i="53" s="1"/>
  <c r="Q67" i="53"/>
  <c r="V67" i="53" s="1"/>
  <c r="Q65" i="53"/>
  <c r="W65" i="53" s="1"/>
  <c r="Q64" i="53"/>
  <c r="Q63" i="53"/>
  <c r="W63" i="53" s="1"/>
  <c r="Q62" i="53"/>
  <c r="Q60" i="53"/>
  <c r="W60" i="53" s="1"/>
  <c r="Q59" i="53"/>
  <c r="V59" i="53" s="1"/>
  <c r="Q58" i="53"/>
  <c r="Q52" i="53"/>
  <c r="W52" i="53" s="1"/>
  <c r="Q51" i="53"/>
  <c r="W51" i="53" s="1"/>
  <c r="Q50" i="53"/>
  <c r="W50" i="53" s="1"/>
  <c r="Q46" i="53"/>
  <c r="W46" i="53" s="1"/>
  <c r="Q45" i="53"/>
  <c r="W45" i="53" s="1"/>
  <c r="Q43" i="53"/>
  <c r="W43" i="53" s="1"/>
  <c r="Q42" i="53"/>
  <c r="W42" i="53" s="1"/>
  <c r="Q41" i="53"/>
  <c r="W41" i="53" s="1"/>
  <c r="Q40" i="53"/>
  <c r="W40" i="53" s="1"/>
  <c r="Q39" i="53"/>
  <c r="W39" i="53" s="1"/>
  <c r="Q38" i="53"/>
  <c r="W38" i="53" s="1"/>
  <c r="Q37" i="53"/>
  <c r="W37" i="53" s="1"/>
  <c r="Q35" i="53"/>
  <c r="W35" i="53" s="1"/>
  <c r="Q34" i="53"/>
  <c r="V34" i="53" s="1"/>
  <c r="Q33" i="53"/>
  <c r="W33" i="53" s="1"/>
  <c r="Q32" i="53"/>
  <c r="V32" i="53" s="1"/>
  <c r="Q31" i="53"/>
  <c r="W31" i="53" s="1"/>
  <c r="Q29" i="53"/>
  <c r="W29" i="53" s="1"/>
  <c r="Q27" i="53"/>
  <c r="W27" i="53" s="1"/>
  <c r="Q26" i="53"/>
  <c r="W26" i="53" s="1"/>
  <c r="Q25" i="53"/>
  <c r="W25" i="53" s="1"/>
  <c r="Q23" i="53"/>
  <c r="W23" i="53" s="1"/>
  <c r="Q22" i="53"/>
  <c r="V22" i="53" s="1"/>
  <c r="Q21" i="53"/>
  <c r="W21" i="53" s="1"/>
  <c r="Q20" i="53"/>
  <c r="V20" i="53" s="1"/>
  <c r="Q19" i="53"/>
  <c r="W19" i="53" s="1"/>
  <c r="Q14" i="53"/>
  <c r="Q15" i="53"/>
  <c r="Q16" i="53"/>
  <c r="Q47" i="53"/>
  <c r="D35" i="58" s="1"/>
  <c r="J83" i="53"/>
  <c r="P83" i="53" s="1"/>
  <c r="J82" i="53"/>
  <c r="P82" i="53" s="1"/>
  <c r="J81" i="53"/>
  <c r="P81" i="53" s="1"/>
  <c r="J80" i="53"/>
  <c r="P80" i="53" s="1"/>
  <c r="J78" i="53"/>
  <c r="P78" i="53" s="1"/>
  <c r="J77" i="53"/>
  <c r="O77" i="53" s="1"/>
  <c r="J76" i="53"/>
  <c r="P76" i="53" s="1"/>
  <c r="J75" i="53"/>
  <c r="O75" i="53" s="1"/>
  <c r="J74" i="53"/>
  <c r="P74" i="53" s="1"/>
  <c r="J73" i="53"/>
  <c r="O73" i="53" s="1"/>
  <c r="J71" i="53"/>
  <c r="P71" i="53" s="1"/>
  <c r="J70" i="53"/>
  <c r="P70" i="53" s="1"/>
  <c r="P69" i="53"/>
  <c r="J68" i="53"/>
  <c r="P68" i="53" s="1"/>
  <c r="J67" i="53"/>
  <c r="P67" i="53" s="1"/>
  <c r="J65" i="53"/>
  <c r="P65" i="53" s="1"/>
  <c r="J64" i="53"/>
  <c r="J63" i="53"/>
  <c r="P63" i="53" s="1"/>
  <c r="J62" i="53"/>
  <c r="J60" i="53"/>
  <c r="P60" i="53" s="1"/>
  <c r="J59" i="53"/>
  <c r="P59" i="53" s="1"/>
  <c r="J52" i="53"/>
  <c r="P52" i="53" s="1"/>
  <c r="J51" i="53"/>
  <c r="P51" i="53" s="1"/>
  <c r="J50" i="53"/>
  <c r="P50" i="53" s="1"/>
  <c r="J47" i="53"/>
  <c r="P47" i="53" s="1"/>
  <c r="J46" i="53"/>
  <c r="O46" i="53" s="1"/>
  <c r="J45" i="53"/>
  <c r="P45" i="53" s="1"/>
  <c r="J43" i="53"/>
  <c r="O43" i="53" s="1"/>
  <c r="J42" i="53"/>
  <c r="P42" i="53" s="1"/>
  <c r="J41" i="53"/>
  <c r="O41" i="53" s="1"/>
  <c r="J40" i="53"/>
  <c r="P40" i="53" s="1"/>
  <c r="J39" i="53"/>
  <c r="O39" i="53" s="1"/>
  <c r="J38" i="53"/>
  <c r="P38" i="53" s="1"/>
  <c r="J37" i="53"/>
  <c r="O37" i="53" s="1"/>
  <c r="J35" i="53"/>
  <c r="P35" i="53" s="1"/>
  <c r="J34" i="53"/>
  <c r="P34" i="53" s="1"/>
  <c r="J33" i="53"/>
  <c r="P33" i="53" s="1"/>
  <c r="J32" i="53"/>
  <c r="P32" i="53" s="1"/>
  <c r="J31" i="53"/>
  <c r="P31" i="53" s="1"/>
  <c r="J29" i="53"/>
  <c r="P29" i="53" s="1"/>
  <c r="J27" i="53"/>
  <c r="P27" i="53" s="1"/>
  <c r="J26" i="53"/>
  <c r="P26" i="53" s="1"/>
  <c r="J25" i="53"/>
  <c r="P25" i="53" s="1"/>
  <c r="J23" i="53"/>
  <c r="O23" i="53" s="1"/>
  <c r="J22" i="53"/>
  <c r="J21" i="53"/>
  <c r="J20" i="53"/>
  <c r="J19" i="53"/>
  <c r="O19" i="53" s="1"/>
  <c r="J14" i="53"/>
  <c r="J15" i="53"/>
  <c r="M15" i="53" s="1"/>
  <c r="J16" i="53"/>
  <c r="Q13" i="53"/>
  <c r="J13" i="53"/>
  <c r="C83" i="53"/>
  <c r="I83" i="53" s="1"/>
  <c r="C82" i="53"/>
  <c r="H82" i="53" s="1"/>
  <c r="C81" i="53"/>
  <c r="I81" i="53" s="1"/>
  <c r="C80" i="53"/>
  <c r="H80" i="53" s="1"/>
  <c r="C78" i="53"/>
  <c r="I78" i="53" s="1"/>
  <c r="C77" i="53"/>
  <c r="H77" i="53" s="1"/>
  <c r="C76" i="53"/>
  <c r="I76" i="53" s="1"/>
  <c r="C75" i="53"/>
  <c r="H75" i="53" s="1"/>
  <c r="C74" i="53"/>
  <c r="I74" i="53" s="1"/>
  <c r="C73" i="53"/>
  <c r="H73" i="53" s="1"/>
  <c r="C71" i="53"/>
  <c r="I71" i="53" s="1"/>
  <c r="C70" i="53"/>
  <c r="I70" i="53" s="1"/>
  <c r="C68" i="53"/>
  <c r="I68" i="53" s="1"/>
  <c r="C67" i="53"/>
  <c r="I67" i="53" s="1"/>
  <c r="C65" i="53"/>
  <c r="I65" i="53" s="1"/>
  <c r="C64" i="53"/>
  <c r="C63" i="53"/>
  <c r="I63" i="53" s="1"/>
  <c r="C62" i="53"/>
  <c r="C60" i="53"/>
  <c r="I60" i="53" s="1"/>
  <c r="C59" i="53"/>
  <c r="I59" i="53" s="1"/>
  <c r="C58" i="53"/>
  <c r="C52" i="53"/>
  <c r="I52" i="53" s="1"/>
  <c r="C51" i="53"/>
  <c r="I51" i="53" s="1"/>
  <c r="C50" i="53"/>
  <c r="I50" i="53" s="1"/>
  <c r="C46" i="53"/>
  <c r="H46" i="53" s="1"/>
  <c r="C45" i="53"/>
  <c r="I45" i="53" s="1"/>
  <c r="C43" i="53"/>
  <c r="H43" i="53" s="1"/>
  <c r="C42" i="53"/>
  <c r="I42" i="53" s="1"/>
  <c r="C41" i="53"/>
  <c r="H41" i="53" s="1"/>
  <c r="C40" i="53"/>
  <c r="I40" i="53" s="1"/>
  <c r="C39" i="53"/>
  <c r="H39" i="53" s="1"/>
  <c r="C38" i="53"/>
  <c r="I38" i="53" s="1"/>
  <c r="C37" i="53"/>
  <c r="H37" i="53" s="1"/>
  <c r="C35" i="53"/>
  <c r="I35" i="53" s="1"/>
  <c r="C34" i="53"/>
  <c r="H34" i="53" s="1"/>
  <c r="C33" i="53"/>
  <c r="I33" i="53" s="1"/>
  <c r="C32" i="53"/>
  <c r="H32" i="53" s="1"/>
  <c r="C31" i="53"/>
  <c r="I31" i="53" s="1"/>
  <c r="C29" i="53"/>
  <c r="I29" i="53" s="1"/>
  <c r="C47" i="53"/>
  <c r="I47" i="53" s="1"/>
  <c r="P20" i="53" l="1"/>
  <c r="O21" i="53"/>
  <c r="P22" i="53"/>
  <c r="J16" i="60"/>
  <c r="J30" i="60" s="1"/>
  <c r="Q17" i="60"/>
  <c r="Q31" i="60" s="1"/>
  <c r="C15" i="60"/>
  <c r="Q15" i="60"/>
  <c r="Q29" i="60" s="1"/>
  <c r="J17" i="60"/>
  <c r="J31" i="60" s="1"/>
  <c r="Q16" i="60"/>
  <c r="Q30" i="60" s="1"/>
  <c r="C17" i="60"/>
  <c r="C16" i="60"/>
  <c r="P15" i="53"/>
  <c r="W15" i="53"/>
  <c r="N15" i="53"/>
  <c r="U15" i="53"/>
  <c r="L15" i="53"/>
  <c r="I62" i="53"/>
  <c r="W64" i="53"/>
  <c r="O15" i="53"/>
  <c r="P62" i="53"/>
  <c r="T15" i="53"/>
  <c r="I64" i="53"/>
  <c r="I17" i="60" s="1"/>
  <c r="W62" i="53"/>
  <c r="P64" i="53"/>
  <c r="P17" i="60" s="1"/>
  <c r="V15" i="53"/>
  <c r="W14" i="53"/>
  <c r="U14" i="53"/>
  <c r="U16" i="53"/>
  <c r="S15" i="53"/>
  <c r="S14" i="53"/>
  <c r="V33" i="53"/>
  <c r="V21" i="53"/>
  <c r="V26" i="53"/>
  <c r="V39" i="53"/>
  <c r="V43" i="53"/>
  <c r="V64" i="53"/>
  <c r="V75" i="53"/>
  <c r="V80" i="53"/>
  <c r="P16" i="53"/>
  <c r="T19" i="53"/>
  <c r="T23" i="53"/>
  <c r="T31" i="53"/>
  <c r="T35" i="53"/>
  <c r="T37" i="53"/>
  <c r="T41" i="53"/>
  <c r="T46" i="53"/>
  <c r="T51" i="53"/>
  <c r="T60" i="53"/>
  <c r="T62" i="53"/>
  <c r="T71" i="53"/>
  <c r="T73" i="53"/>
  <c r="T77" i="53"/>
  <c r="T82" i="53"/>
  <c r="J86" i="53"/>
  <c r="W16" i="53"/>
  <c r="S16" i="53"/>
  <c r="V19" i="53"/>
  <c r="T21" i="53"/>
  <c r="V23" i="53"/>
  <c r="T26" i="53"/>
  <c r="V31" i="53"/>
  <c r="T33" i="53"/>
  <c r="V35" i="53"/>
  <c r="V37" i="53"/>
  <c r="T39" i="53"/>
  <c r="V41" i="53"/>
  <c r="T43" i="53"/>
  <c r="V46" i="53"/>
  <c r="V51" i="53"/>
  <c r="V60" i="53"/>
  <c r="V62" i="53"/>
  <c r="T64" i="53"/>
  <c r="V71" i="53"/>
  <c r="V73" i="53"/>
  <c r="T75" i="53"/>
  <c r="V77" i="53"/>
  <c r="T80" i="53"/>
  <c r="V82" i="53"/>
  <c r="Q86" i="53"/>
  <c r="S80" i="53"/>
  <c r="U80" i="53"/>
  <c r="T81" i="53"/>
  <c r="V81" i="53"/>
  <c r="S82" i="53"/>
  <c r="U82" i="53"/>
  <c r="T83" i="53"/>
  <c r="V83" i="53"/>
  <c r="S81" i="53"/>
  <c r="U81" i="53"/>
  <c r="S83" i="53"/>
  <c r="U83" i="53"/>
  <c r="S73" i="53"/>
  <c r="U73" i="53"/>
  <c r="T74" i="53"/>
  <c r="V74" i="53"/>
  <c r="S75" i="53"/>
  <c r="U75" i="53"/>
  <c r="T76" i="53"/>
  <c r="V76" i="53"/>
  <c r="S77" i="53"/>
  <c r="U77" i="53"/>
  <c r="T78" i="53"/>
  <c r="V78" i="53"/>
  <c r="S74" i="53"/>
  <c r="U74" i="53"/>
  <c r="S76" i="53"/>
  <c r="U76" i="53"/>
  <c r="S78" i="53"/>
  <c r="U78" i="53"/>
  <c r="S67" i="53"/>
  <c r="U67" i="53"/>
  <c r="W67" i="53"/>
  <c r="T68" i="53"/>
  <c r="V68" i="53"/>
  <c r="S69" i="53"/>
  <c r="U69" i="53"/>
  <c r="W69" i="53"/>
  <c r="T67" i="53"/>
  <c r="S68" i="53"/>
  <c r="U68" i="53"/>
  <c r="T69" i="53"/>
  <c r="S71" i="53"/>
  <c r="U71" i="53"/>
  <c r="S62" i="53"/>
  <c r="U62" i="53"/>
  <c r="T63" i="53"/>
  <c r="V63" i="53"/>
  <c r="S64" i="53"/>
  <c r="U64" i="53"/>
  <c r="T65" i="53"/>
  <c r="V65" i="53"/>
  <c r="S63" i="53"/>
  <c r="U63" i="53"/>
  <c r="S65" i="53"/>
  <c r="U65" i="53"/>
  <c r="S59" i="53"/>
  <c r="U59" i="53"/>
  <c r="W59" i="53"/>
  <c r="W86" i="53" s="1"/>
  <c r="T59" i="53"/>
  <c r="S60" i="53"/>
  <c r="U60" i="53"/>
  <c r="T50" i="53"/>
  <c r="V50" i="53"/>
  <c r="S51" i="53"/>
  <c r="U51" i="53"/>
  <c r="T52" i="53"/>
  <c r="V52" i="53"/>
  <c r="S50" i="53"/>
  <c r="U50" i="53"/>
  <c r="S52" i="53"/>
  <c r="U52" i="53"/>
  <c r="S37" i="53"/>
  <c r="U37" i="53"/>
  <c r="T38" i="53"/>
  <c r="V38" i="53"/>
  <c r="S39" i="53"/>
  <c r="U39" i="53"/>
  <c r="T40" i="53"/>
  <c r="V40" i="53"/>
  <c r="S41" i="53"/>
  <c r="U41" i="53"/>
  <c r="T42" i="53"/>
  <c r="V42" i="53"/>
  <c r="S43" i="53"/>
  <c r="U43" i="53"/>
  <c r="T45" i="53"/>
  <c r="V45" i="53"/>
  <c r="S46" i="53"/>
  <c r="U46" i="53"/>
  <c r="S38" i="53"/>
  <c r="U38" i="53"/>
  <c r="S40" i="53"/>
  <c r="U40" i="53"/>
  <c r="S42" i="53"/>
  <c r="U42" i="53"/>
  <c r="S45" i="53"/>
  <c r="U45" i="53"/>
  <c r="S32" i="53"/>
  <c r="U32" i="53"/>
  <c r="W32" i="53"/>
  <c r="S34" i="53"/>
  <c r="U34" i="53"/>
  <c r="W34" i="53"/>
  <c r="S31" i="53"/>
  <c r="U31" i="53"/>
  <c r="T32" i="53"/>
  <c r="S33" i="53"/>
  <c r="U33" i="53"/>
  <c r="T34" i="53"/>
  <c r="S35" i="53"/>
  <c r="U35" i="53"/>
  <c r="T29" i="53"/>
  <c r="V29" i="53"/>
  <c r="S29" i="53"/>
  <c r="U29" i="53"/>
  <c r="T25" i="53"/>
  <c r="V25" i="53"/>
  <c r="S26" i="53"/>
  <c r="U26" i="53"/>
  <c r="T27" i="53"/>
  <c r="V27" i="53"/>
  <c r="S25" i="53"/>
  <c r="U25" i="53"/>
  <c r="S27" i="53"/>
  <c r="U27" i="53"/>
  <c r="S20" i="53"/>
  <c r="U20" i="53"/>
  <c r="W20" i="53"/>
  <c r="S22" i="53"/>
  <c r="U22" i="53"/>
  <c r="W22" i="53"/>
  <c r="S19" i="53"/>
  <c r="U19" i="53"/>
  <c r="T20" i="53"/>
  <c r="S21" i="53"/>
  <c r="U21" i="53"/>
  <c r="T22" i="53"/>
  <c r="S23" i="53"/>
  <c r="U23" i="53"/>
  <c r="V16" i="53"/>
  <c r="T16" i="53"/>
  <c r="V14" i="53"/>
  <c r="T14" i="53"/>
  <c r="P14" i="53"/>
  <c r="N14" i="53"/>
  <c r="N16" i="53"/>
  <c r="O80" i="53"/>
  <c r="H31" i="53"/>
  <c r="H38" i="53"/>
  <c r="F40" i="53"/>
  <c r="H42" i="53"/>
  <c r="F45" i="53"/>
  <c r="H47" i="53"/>
  <c r="F51" i="53"/>
  <c r="H59" i="53"/>
  <c r="F62" i="53"/>
  <c r="H64" i="53"/>
  <c r="F67" i="53"/>
  <c r="F70" i="53"/>
  <c r="F74" i="53"/>
  <c r="H76" i="53"/>
  <c r="F78" i="53"/>
  <c r="H81" i="53"/>
  <c r="F83" i="53"/>
  <c r="M22" i="53"/>
  <c r="M26" i="53"/>
  <c r="M34" i="53"/>
  <c r="O42" i="53"/>
  <c r="M45" i="53"/>
  <c r="O47" i="53"/>
  <c r="M51" i="53"/>
  <c r="M59" i="53"/>
  <c r="O62" i="53"/>
  <c r="M64" i="53"/>
  <c r="O69" i="53"/>
  <c r="M70" i="53"/>
  <c r="M74" i="53"/>
  <c r="O76" i="53"/>
  <c r="M78" i="53"/>
  <c r="M80" i="53"/>
  <c r="O82" i="53"/>
  <c r="F31" i="53"/>
  <c r="F38" i="53"/>
  <c r="H40" i="53"/>
  <c r="F42" i="53"/>
  <c r="H45" i="53"/>
  <c r="F47" i="53"/>
  <c r="H51" i="53"/>
  <c r="F59" i="53"/>
  <c r="H62" i="53"/>
  <c r="F64" i="53"/>
  <c r="H67" i="53"/>
  <c r="H70" i="53"/>
  <c r="H74" i="53"/>
  <c r="F76" i="53"/>
  <c r="H78" i="53"/>
  <c r="F81" i="53"/>
  <c r="H83" i="53"/>
  <c r="L16" i="53"/>
  <c r="O22" i="53"/>
  <c r="O26" i="53"/>
  <c r="O34" i="53"/>
  <c r="M42" i="53"/>
  <c r="O45" i="53"/>
  <c r="M47" i="53"/>
  <c r="O51" i="53"/>
  <c r="O59" i="53"/>
  <c r="M62" i="53"/>
  <c r="O64" i="53"/>
  <c r="M69" i="53"/>
  <c r="O70" i="53"/>
  <c r="O74" i="53"/>
  <c r="M76" i="53"/>
  <c r="O78" i="53"/>
  <c r="M82" i="53"/>
  <c r="O32" i="53"/>
  <c r="M32" i="53"/>
  <c r="O38" i="53"/>
  <c r="M40" i="53"/>
  <c r="M38" i="53"/>
  <c r="O40" i="53"/>
  <c r="O20" i="53"/>
  <c r="M20" i="53"/>
  <c r="L14" i="53"/>
  <c r="M67" i="53"/>
  <c r="O67" i="53"/>
  <c r="L80" i="53"/>
  <c r="N80" i="53"/>
  <c r="M81" i="53"/>
  <c r="O81" i="53"/>
  <c r="L82" i="53"/>
  <c r="N82" i="53"/>
  <c r="M83" i="53"/>
  <c r="O83" i="53"/>
  <c r="L81" i="53"/>
  <c r="N81" i="53"/>
  <c r="L83" i="53"/>
  <c r="N83" i="53"/>
  <c r="L73" i="53"/>
  <c r="N73" i="53"/>
  <c r="P73" i="53"/>
  <c r="L75" i="53"/>
  <c r="N75" i="53"/>
  <c r="P75" i="53"/>
  <c r="L77" i="53"/>
  <c r="N77" i="53"/>
  <c r="P77" i="53"/>
  <c r="M73" i="53"/>
  <c r="L74" i="53"/>
  <c r="N74" i="53"/>
  <c r="M75" i="53"/>
  <c r="L76" i="53"/>
  <c r="N76" i="53"/>
  <c r="M77" i="53"/>
  <c r="L78" i="53"/>
  <c r="N78" i="53"/>
  <c r="L67" i="53"/>
  <c r="N67" i="53"/>
  <c r="M68" i="53"/>
  <c r="O68" i="53"/>
  <c r="L69" i="53"/>
  <c r="N69" i="53"/>
  <c r="L70" i="53"/>
  <c r="N70" i="53"/>
  <c r="M71" i="53"/>
  <c r="O71" i="53"/>
  <c r="L68" i="53"/>
  <c r="N68" i="53"/>
  <c r="L71" i="53"/>
  <c r="N71" i="53"/>
  <c r="L62" i="53"/>
  <c r="N62" i="53"/>
  <c r="M63" i="53"/>
  <c r="O63" i="53"/>
  <c r="L64" i="53"/>
  <c r="N64" i="53"/>
  <c r="M65" i="53"/>
  <c r="O65" i="53"/>
  <c r="L63" i="53"/>
  <c r="N63" i="53"/>
  <c r="L65" i="53"/>
  <c r="N65" i="53"/>
  <c r="L59" i="53"/>
  <c r="N59" i="53"/>
  <c r="M60" i="53"/>
  <c r="O60" i="53"/>
  <c r="L60" i="53"/>
  <c r="N60" i="53"/>
  <c r="M50" i="53"/>
  <c r="O50" i="53"/>
  <c r="L51" i="53"/>
  <c r="N51" i="53"/>
  <c r="M52" i="53"/>
  <c r="O52" i="53"/>
  <c r="L50" i="53"/>
  <c r="N50" i="53"/>
  <c r="L52" i="53"/>
  <c r="N52" i="53"/>
  <c r="L37" i="53"/>
  <c r="N37" i="53"/>
  <c r="P37" i="53"/>
  <c r="L39" i="53"/>
  <c r="N39" i="53"/>
  <c r="P39" i="53"/>
  <c r="L41" i="53"/>
  <c r="N41" i="53"/>
  <c r="P41" i="53"/>
  <c r="L43" i="53"/>
  <c r="N43" i="53"/>
  <c r="P43" i="53"/>
  <c r="L46" i="53"/>
  <c r="N46" i="53"/>
  <c r="P46" i="53"/>
  <c r="M37" i="53"/>
  <c r="L38" i="53"/>
  <c r="N38" i="53"/>
  <c r="M39" i="53"/>
  <c r="L40" i="53"/>
  <c r="N40" i="53"/>
  <c r="M41" i="53"/>
  <c r="L42" i="53"/>
  <c r="N42" i="53"/>
  <c r="M43" i="53"/>
  <c r="L45" i="53"/>
  <c r="N45" i="53"/>
  <c r="M46" i="53"/>
  <c r="L47" i="53"/>
  <c r="N47" i="53"/>
  <c r="M31" i="53"/>
  <c r="O31" i="53"/>
  <c r="L32" i="53"/>
  <c r="N32" i="53"/>
  <c r="M33" i="53"/>
  <c r="O33" i="53"/>
  <c r="L34" i="53"/>
  <c r="N34" i="53"/>
  <c r="M35" i="53"/>
  <c r="O35" i="53"/>
  <c r="L31" i="53"/>
  <c r="N31" i="53"/>
  <c r="L33" i="53"/>
  <c r="N33" i="53"/>
  <c r="L35" i="53"/>
  <c r="N35" i="53"/>
  <c r="M29" i="53"/>
  <c r="O29" i="53"/>
  <c r="L29" i="53"/>
  <c r="N29" i="53"/>
  <c r="M25" i="53"/>
  <c r="O25" i="53"/>
  <c r="L26" i="53"/>
  <c r="N26" i="53"/>
  <c r="M27" i="53"/>
  <c r="O27" i="53"/>
  <c r="L25" i="53"/>
  <c r="N25" i="53"/>
  <c r="L27" i="53"/>
  <c r="N27" i="53"/>
  <c r="L19" i="53"/>
  <c r="N19" i="53"/>
  <c r="P19" i="53"/>
  <c r="L21" i="53"/>
  <c r="N21" i="53"/>
  <c r="P21" i="53"/>
  <c r="L23" i="53"/>
  <c r="N23" i="53"/>
  <c r="P23" i="53"/>
  <c r="P86" i="53" s="1"/>
  <c r="M19" i="53"/>
  <c r="L20" i="53"/>
  <c r="N20" i="53"/>
  <c r="M21" i="53"/>
  <c r="L22" i="53"/>
  <c r="N22" i="53"/>
  <c r="M23" i="53"/>
  <c r="O16" i="53"/>
  <c r="M16" i="53"/>
  <c r="O14" i="53"/>
  <c r="M14" i="53"/>
  <c r="E80" i="53"/>
  <c r="G80" i="53"/>
  <c r="I80" i="53"/>
  <c r="E82" i="53"/>
  <c r="G82" i="53"/>
  <c r="I82" i="53"/>
  <c r="F80" i="53"/>
  <c r="E81" i="53"/>
  <c r="G81" i="53"/>
  <c r="F82" i="53"/>
  <c r="E83" i="53"/>
  <c r="G83" i="53"/>
  <c r="E73" i="53"/>
  <c r="G73" i="53"/>
  <c r="I73" i="53"/>
  <c r="E75" i="53"/>
  <c r="G75" i="53"/>
  <c r="I75" i="53"/>
  <c r="E77" i="53"/>
  <c r="G77" i="53"/>
  <c r="I77" i="53"/>
  <c r="F73" i="53"/>
  <c r="E74" i="53"/>
  <c r="G74" i="53"/>
  <c r="F75" i="53"/>
  <c r="E76" i="53"/>
  <c r="G76" i="53"/>
  <c r="F77" i="53"/>
  <c r="E78" i="53"/>
  <c r="G78" i="53"/>
  <c r="E67" i="53"/>
  <c r="G67" i="53"/>
  <c r="F68" i="53"/>
  <c r="H68" i="53"/>
  <c r="E70" i="53"/>
  <c r="G70" i="53"/>
  <c r="F71" i="53"/>
  <c r="H71" i="53"/>
  <c r="E68" i="53"/>
  <c r="G68" i="53"/>
  <c r="E71" i="53"/>
  <c r="G71" i="53"/>
  <c r="E62" i="53"/>
  <c r="G62" i="53"/>
  <c r="F63" i="53"/>
  <c r="H63" i="53"/>
  <c r="E64" i="53"/>
  <c r="G64" i="53"/>
  <c r="F65" i="53"/>
  <c r="H65" i="53"/>
  <c r="E63" i="53"/>
  <c r="G63" i="53"/>
  <c r="E65" i="53"/>
  <c r="G65" i="53"/>
  <c r="E59" i="53"/>
  <c r="G59" i="53"/>
  <c r="F60" i="53"/>
  <c r="H60" i="53"/>
  <c r="E60" i="53"/>
  <c r="G60" i="53"/>
  <c r="F50" i="53"/>
  <c r="H50" i="53"/>
  <c r="E51" i="53"/>
  <c r="G51" i="53"/>
  <c r="F52" i="53"/>
  <c r="H52" i="53"/>
  <c r="E50" i="53"/>
  <c r="G50" i="53"/>
  <c r="E52" i="53"/>
  <c r="G52" i="53"/>
  <c r="E37" i="53"/>
  <c r="G37" i="53"/>
  <c r="I37" i="53"/>
  <c r="E39" i="53"/>
  <c r="G39" i="53"/>
  <c r="I39" i="53"/>
  <c r="E41" i="53"/>
  <c r="G41" i="53"/>
  <c r="I41" i="53"/>
  <c r="E43" i="53"/>
  <c r="G43" i="53"/>
  <c r="I43" i="53"/>
  <c r="E46" i="53"/>
  <c r="G46" i="53"/>
  <c r="I46" i="53"/>
  <c r="F37" i="53"/>
  <c r="E38" i="53"/>
  <c r="G38" i="53"/>
  <c r="F39" i="53"/>
  <c r="E40" i="53"/>
  <c r="G40" i="53"/>
  <c r="F41" i="53"/>
  <c r="E42" i="53"/>
  <c r="G42" i="53"/>
  <c r="F43" i="53"/>
  <c r="E45" i="53"/>
  <c r="G45" i="53"/>
  <c r="F46" i="53"/>
  <c r="E47" i="53"/>
  <c r="G47" i="53"/>
  <c r="E32" i="53"/>
  <c r="G32" i="53"/>
  <c r="I32" i="53"/>
  <c r="F33" i="53"/>
  <c r="H33" i="53"/>
  <c r="E34" i="53"/>
  <c r="G34" i="53"/>
  <c r="I34" i="53"/>
  <c r="F35" i="53"/>
  <c r="H35" i="53"/>
  <c r="E31" i="53"/>
  <c r="G31" i="53"/>
  <c r="F32" i="53"/>
  <c r="E33" i="53"/>
  <c r="G33" i="53"/>
  <c r="F34" i="53"/>
  <c r="E35" i="53"/>
  <c r="G35" i="53"/>
  <c r="F29" i="53"/>
  <c r="H29" i="53"/>
  <c r="E29" i="53"/>
  <c r="G29" i="53"/>
  <c r="C27" i="53"/>
  <c r="I27" i="53" s="1"/>
  <c r="C26" i="53"/>
  <c r="I26" i="53" s="1"/>
  <c r="C25" i="53"/>
  <c r="G25" i="53" s="1"/>
  <c r="C23" i="53"/>
  <c r="C86" i="53" s="1"/>
  <c r="K24" i="46" s="1"/>
  <c r="C22" i="53"/>
  <c r="I22" i="53" s="1"/>
  <c r="C21" i="53"/>
  <c r="I21" i="53" s="1"/>
  <c r="C20" i="53"/>
  <c r="I20" i="53" s="1"/>
  <c r="C19" i="53"/>
  <c r="I19" i="53" s="1"/>
  <c r="C14" i="53"/>
  <c r="C15" i="53"/>
  <c r="C16" i="53"/>
  <c r="C13" i="53"/>
  <c r="E13" i="53" s="1"/>
  <c r="C30" i="60" l="1"/>
  <c r="AS30" i="60" s="1"/>
  <c r="AS16" i="60"/>
  <c r="C93" i="53"/>
  <c r="C104" i="53" s="1"/>
  <c r="C31" i="60"/>
  <c r="AS31" i="60" s="1"/>
  <c r="AS17" i="60"/>
  <c r="C29" i="60"/>
  <c r="L17" i="60"/>
  <c r="L31" i="60" s="1"/>
  <c r="S17" i="60"/>
  <c r="S31" i="60" s="1"/>
  <c r="K49" i="46"/>
  <c r="Q93" i="53"/>
  <c r="Q104" i="53" s="1"/>
  <c r="Q49" i="46"/>
  <c r="W93" i="53"/>
  <c r="W104" i="53" s="1"/>
  <c r="K37" i="46"/>
  <c r="J93" i="53"/>
  <c r="J104" i="53" s="1"/>
  <c r="Q37" i="46"/>
  <c r="P93" i="53"/>
  <c r="P104" i="53" s="1"/>
  <c r="N17" i="60"/>
  <c r="N31" i="60" s="1"/>
  <c r="C25" i="48"/>
  <c r="N16" i="60"/>
  <c r="N30" i="60" s="1"/>
  <c r="M17" i="60"/>
  <c r="M31" i="60" s="1"/>
  <c r="U16" i="60"/>
  <c r="U30" i="60" s="1"/>
  <c r="T17" i="60"/>
  <c r="T31" i="60" s="1"/>
  <c r="O16" i="60"/>
  <c r="O30" i="60" s="1"/>
  <c r="S16" i="60"/>
  <c r="S30" i="60" s="1"/>
  <c r="V16" i="60"/>
  <c r="V30" i="60" s="1"/>
  <c r="C27" i="48"/>
  <c r="M16" i="60"/>
  <c r="M30" i="60" s="1"/>
  <c r="U17" i="60"/>
  <c r="U31" i="60" s="1"/>
  <c r="V17" i="60"/>
  <c r="V31" i="60" s="1"/>
  <c r="R17" i="60"/>
  <c r="R31" i="60" s="1"/>
  <c r="O17" i="60"/>
  <c r="O31" i="60" s="1"/>
  <c r="W16" i="60"/>
  <c r="W30" i="60" s="1"/>
  <c r="W33" i="60" s="1"/>
  <c r="G16" i="60"/>
  <c r="L16" i="60"/>
  <c r="L30" i="60" s="1"/>
  <c r="K17" i="60"/>
  <c r="K31" i="60" s="1"/>
  <c r="C26" i="48"/>
  <c r="H16" i="60"/>
  <c r="K16" i="60"/>
  <c r="K30" i="60" s="1"/>
  <c r="F16" i="60"/>
  <c r="R16" i="60"/>
  <c r="R30" i="60" s="1"/>
  <c r="T16" i="60"/>
  <c r="T30" i="60" s="1"/>
  <c r="P16" i="60"/>
  <c r="P30" i="60" s="1"/>
  <c r="P33" i="60" s="1"/>
  <c r="W17" i="60"/>
  <c r="W31" i="60" s="1"/>
  <c r="W34" i="60" s="1"/>
  <c r="E17" i="60"/>
  <c r="H17" i="60"/>
  <c r="G17" i="60"/>
  <c r="F17" i="60"/>
  <c r="D17" i="60"/>
  <c r="E16" i="60"/>
  <c r="D16" i="60"/>
  <c r="I16" i="60"/>
  <c r="L86" i="53"/>
  <c r="M86" i="53"/>
  <c r="J33" i="60"/>
  <c r="Q34" i="60"/>
  <c r="J34" i="60"/>
  <c r="Q33" i="60"/>
  <c r="N86" i="53"/>
  <c r="S86" i="53"/>
  <c r="K86" i="53"/>
  <c r="P31" i="60"/>
  <c r="I31" i="60"/>
  <c r="U86" i="53"/>
  <c r="O86" i="53"/>
  <c r="R86" i="53"/>
  <c r="V86" i="53"/>
  <c r="T86" i="53"/>
  <c r="I23" i="53"/>
  <c r="I86" i="53" s="1"/>
  <c r="E16" i="53"/>
  <c r="G16" i="53"/>
  <c r="I16" i="53"/>
  <c r="F16" i="53"/>
  <c r="H16" i="53"/>
  <c r="E14" i="53"/>
  <c r="G14" i="53"/>
  <c r="I14" i="53"/>
  <c r="F14" i="53"/>
  <c r="H14" i="53"/>
  <c r="E15" i="53"/>
  <c r="G15" i="53"/>
  <c r="I15" i="53"/>
  <c r="F15" i="53"/>
  <c r="H15" i="53"/>
  <c r="C61" i="53"/>
  <c r="H22" i="53"/>
  <c r="H26" i="53"/>
  <c r="H20" i="53"/>
  <c r="F22" i="53"/>
  <c r="F26" i="53"/>
  <c r="F20" i="53"/>
  <c r="E25" i="53"/>
  <c r="I25" i="53"/>
  <c r="F25" i="53"/>
  <c r="H25" i="53"/>
  <c r="E26" i="53"/>
  <c r="G26" i="53"/>
  <c r="F27" i="53"/>
  <c r="H27" i="53"/>
  <c r="E27" i="53"/>
  <c r="G27" i="53"/>
  <c r="G19" i="53"/>
  <c r="F19" i="53"/>
  <c r="H19" i="53"/>
  <c r="E20" i="53"/>
  <c r="G20" i="53"/>
  <c r="F21" i="53"/>
  <c r="H21" i="53"/>
  <c r="E22" i="53"/>
  <c r="G22" i="53"/>
  <c r="D86" i="53"/>
  <c r="F23" i="53"/>
  <c r="F86" i="53" s="1"/>
  <c r="H23" i="53"/>
  <c r="H86" i="53" s="1"/>
  <c r="E19" i="53"/>
  <c r="E21" i="53"/>
  <c r="G21" i="53"/>
  <c r="E23" i="53"/>
  <c r="E86" i="53" s="1"/>
  <c r="G23" i="53"/>
  <c r="G86" i="53" s="1"/>
  <c r="AY31" i="60" l="1"/>
  <c r="C33" i="60"/>
  <c r="C34" i="60"/>
  <c r="D31" i="60"/>
  <c r="AT31" i="60" s="1"/>
  <c r="AT17" i="60"/>
  <c r="E31" i="60"/>
  <c r="AU31" i="60" s="1"/>
  <c r="AU17" i="60"/>
  <c r="H30" i="60"/>
  <c r="AX30" i="60" s="1"/>
  <c r="AX16" i="60"/>
  <c r="I30" i="60"/>
  <c r="AY30" i="60" s="1"/>
  <c r="AY33" i="60" s="1"/>
  <c r="AY16" i="60"/>
  <c r="F31" i="60"/>
  <c r="AV31" i="60" s="1"/>
  <c r="AV17" i="60"/>
  <c r="F30" i="60"/>
  <c r="AV30" i="60" s="1"/>
  <c r="AV16" i="60"/>
  <c r="E30" i="60"/>
  <c r="AU30" i="60" s="1"/>
  <c r="AU16" i="60"/>
  <c r="H31" i="60"/>
  <c r="AX31" i="60" s="1"/>
  <c r="AX17" i="60"/>
  <c r="G30" i="60"/>
  <c r="AW30" i="60" s="1"/>
  <c r="AW16" i="60"/>
  <c r="D30" i="60"/>
  <c r="AT30" i="60" s="1"/>
  <c r="AT16" i="60"/>
  <c r="G31" i="60"/>
  <c r="AW31" i="60" s="1"/>
  <c r="AW17" i="60"/>
  <c r="AY17" i="60"/>
  <c r="M24" i="46"/>
  <c r="E93" i="53"/>
  <c r="E104" i="53" s="1"/>
  <c r="Q24" i="46"/>
  <c r="I93" i="53"/>
  <c r="I104" i="53" s="1"/>
  <c r="N24" i="46"/>
  <c r="F93" i="53"/>
  <c r="F104" i="53" s="1"/>
  <c r="N49" i="46"/>
  <c r="T93" i="53"/>
  <c r="T104" i="53" s="1"/>
  <c r="L37" i="46"/>
  <c r="K93" i="53"/>
  <c r="K104" i="53" s="1"/>
  <c r="O37" i="46"/>
  <c r="N93" i="53"/>
  <c r="N104" i="53" s="1"/>
  <c r="L24" i="46"/>
  <c r="D93" i="53"/>
  <c r="D104" i="53" s="1"/>
  <c r="P49" i="46"/>
  <c r="V93" i="53"/>
  <c r="V104" i="53" s="1"/>
  <c r="N37" i="46"/>
  <c r="M93" i="53"/>
  <c r="M104" i="53" s="1"/>
  <c r="O24" i="46"/>
  <c r="G93" i="53"/>
  <c r="G104" i="53" s="1"/>
  <c r="L49" i="46"/>
  <c r="R93" i="53"/>
  <c r="R104" i="53" s="1"/>
  <c r="O49" i="46"/>
  <c r="U93" i="53"/>
  <c r="U104" i="53" s="1"/>
  <c r="M37" i="46"/>
  <c r="L93" i="53"/>
  <c r="L104" i="53" s="1"/>
  <c r="P24" i="46"/>
  <c r="H93" i="53"/>
  <c r="H104" i="53" s="1"/>
  <c r="P37" i="46"/>
  <c r="O93" i="53"/>
  <c r="O104" i="53" s="1"/>
  <c r="M49" i="46"/>
  <c r="S93" i="53"/>
  <c r="S104" i="53" s="1"/>
  <c r="O34" i="60"/>
  <c r="M33" i="60"/>
  <c r="K33" i="60"/>
  <c r="T34" i="60"/>
  <c r="V34" i="60"/>
  <c r="R33" i="60"/>
  <c r="L33" i="60"/>
  <c r="AS34" i="60"/>
  <c r="U33" i="60"/>
  <c r="M34" i="60"/>
  <c r="K34" i="60"/>
  <c r="I34" i="60"/>
  <c r="U34" i="60"/>
  <c r="S33" i="60"/>
  <c r="N33" i="60"/>
  <c r="AS33" i="60"/>
  <c r="N34" i="60"/>
  <c r="R34" i="60"/>
  <c r="S34" i="60"/>
  <c r="V33" i="60"/>
  <c r="P34" i="60"/>
  <c r="T33" i="60"/>
  <c r="O33" i="60"/>
  <c r="L34" i="60"/>
  <c r="F34" i="60" l="1"/>
  <c r="D34" i="60"/>
  <c r="E33" i="60"/>
  <c r="G33" i="60"/>
  <c r="H33" i="60"/>
  <c r="E34" i="60"/>
  <c r="H34" i="60"/>
  <c r="D33" i="60"/>
  <c r="G34" i="60"/>
  <c r="F33" i="60"/>
  <c r="I33" i="60"/>
  <c r="AW34" i="60"/>
  <c r="AV34" i="60"/>
  <c r="AY34" i="60"/>
  <c r="AU34" i="60"/>
  <c r="AX34" i="60"/>
  <c r="AU33" i="60"/>
  <c r="AT34" i="60"/>
  <c r="AW33" i="60"/>
  <c r="AX33" i="60"/>
  <c r="AV33" i="60"/>
  <c r="AT33" i="60"/>
  <c r="Y17" i="53"/>
  <c r="Z17" i="53"/>
  <c r="AA17" i="53"/>
  <c r="AB17" i="53"/>
  <c r="AC17" i="53"/>
  <c r="AD17" i="53"/>
  <c r="X17" i="53"/>
  <c r="E7" i="2"/>
  <c r="E35" i="58" l="1"/>
  <c r="V47" i="53"/>
  <c r="I35" i="58" s="1"/>
  <c r="S47" i="53"/>
  <c r="F35" i="58" s="1"/>
  <c r="U47" i="53"/>
  <c r="H35" i="58" s="1"/>
  <c r="T47" i="53"/>
  <c r="G35" i="58" s="1"/>
  <c r="W47" i="53"/>
  <c r="J35" i="58" s="1"/>
  <c r="F37" i="47" l="1"/>
  <c r="G37" i="47"/>
  <c r="H38" i="39" l="1"/>
  <c r="D38" i="39"/>
  <c r="M38" i="39"/>
  <c r="W38" i="39"/>
  <c r="E38" i="39"/>
  <c r="I38" i="39"/>
  <c r="N38" i="39"/>
  <c r="G38" i="39"/>
  <c r="L38" i="39"/>
  <c r="P38" i="39"/>
  <c r="F38" i="39"/>
  <c r="K38" i="39"/>
  <c r="O38" i="39"/>
  <c r="D37" i="48"/>
  <c r="E37" i="48"/>
  <c r="F37" i="48"/>
  <c r="G37" i="48"/>
  <c r="H37" i="48"/>
  <c r="G80" i="1"/>
  <c r="H80" i="1"/>
  <c r="I80" i="1"/>
  <c r="J80" i="1"/>
  <c r="K80" i="1"/>
  <c r="G81" i="1"/>
  <c r="H81" i="1"/>
  <c r="I81" i="1"/>
  <c r="J81" i="1"/>
  <c r="K81" i="1"/>
  <c r="F81" i="1"/>
  <c r="F80" i="1"/>
  <c r="D27" i="58"/>
  <c r="E12" i="58" s="1"/>
  <c r="E27" i="58" s="1"/>
  <c r="F12" i="58" s="1"/>
  <c r="F27" i="58" s="1"/>
  <c r="G12" i="58" s="1"/>
  <c r="G27" i="58" s="1"/>
  <c r="H12" i="58" s="1"/>
  <c r="H27" i="58" s="1"/>
  <c r="I12" i="58" s="1"/>
  <c r="I27" i="58" s="1"/>
  <c r="J12" i="58" s="1"/>
  <c r="J27" i="58" s="1"/>
  <c r="D26" i="58"/>
  <c r="E11" i="58" s="1"/>
  <c r="D10" i="58"/>
  <c r="R38" i="39" l="1"/>
  <c r="G33" i="58"/>
  <c r="H33" i="58"/>
  <c r="D33" i="58"/>
  <c r="I33" i="58"/>
  <c r="D25" i="58"/>
  <c r="F33" i="58"/>
  <c r="J33" i="58"/>
  <c r="E33" i="58"/>
  <c r="U38" i="39"/>
  <c r="S38" i="39"/>
  <c r="T38" i="39"/>
  <c r="V38" i="39"/>
  <c r="E26" i="58"/>
  <c r="F11" i="58" s="1"/>
  <c r="E10" i="58"/>
  <c r="E25" i="58" s="1"/>
  <c r="F26" i="58" l="1"/>
  <c r="G11" i="58" s="1"/>
  <c r="F10" i="58"/>
  <c r="F25" i="58" s="1"/>
  <c r="G26" i="58" l="1"/>
  <c r="H11" i="58" s="1"/>
  <c r="G10" i="58"/>
  <c r="G25" i="58" s="1"/>
  <c r="H26" i="58" l="1"/>
  <c r="I11" i="58" s="1"/>
  <c r="H10" i="58"/>
  <c r="H25" i="58" s="1"/>
  <c r="I26" i="58" l="1"/>
  <c r="J11" i="58" s="1"/>
  <c r="I10" i="58"/>
  <c r="I25" i="58" s="1"/>
  <c r="J26" i="58" l="1"/>
  <c r="J10" i="58"/>
  <c r="J25" i="58" s="1"/>
  <c r="D14" i="16" l="1"/>
  <c r="J54" i="7"/>
  <c r="P53" i="7"/>
  <c r="O53" i="7"/>
  <c r="N53" i="7"/>
  <c r="M53" i="7"/>
  <c r="L53" i="7"/>
  <c r="K53" i="7"/>
  <c r="J53" i="7"/>
  <c r="K48" i="7" l="1"/>
  <c r="J52" i="7"/>
  <c r="E14" i="16"/>
  <c r="D16" i="16"/>
  <c r="K54" i="7"/>
  <c r="L48" i="7" s="1"/>
  <c r="I13" i="39"/>
  <c r="E13" i="39"/>
  <c r="D13" i="39"/>
  <c r="F13" i="39"/>
  <c r="G13" i="39"/>
  <c r="H13" i="39"/>
  <c r="K52" i="7" l="1"/>
  <c r="F14" i="16"/>
  <c r="E16" i="16"/>
  <c r="L54" i="7"/>
  <c r="M48" i="7" s="1"/>
  <c r="L52" i="7" l="1"/>
  <c r="G14" i="16"/>
  <c r="F16" i="16"/>
  <c r="M54" i="7"/>
  <c r="N48" i="7" s="1"/>
  <c r="M52" i="7" l="1"/>
  <c r="H14" i="16"/>
  <c r="G16" i="16"/>
  <c r="N54" i="7"/>
  <c r="O48" i="7" s="1"/>
  <c r="N52" i="7" l="1"/>
  <c r="I14" i="16"/>
  <c r="I16" i="16" s="1"/>
  <c r="H16" i="16"/>
  <c r="O54" i="7"/>
  <c r="P48" i="7" s="1"/>
  <c r="O52" i="7" l="1"/>
  <c r="P54" i="7"/>
  <c r="P52" i="7" s="1"/>
  <c r="P65" i="7" l="1"/>
  <c r="O65" i="7"/>
  <c r="N65" i="7"/>
  <c r="M65" i="7"/>
  <c r="L65" i="7"/>
  <c r="K65" i="7"/>
  <c r="K60" i="7" l="1"/>
  <c r="K64" i="7" s="1"/>
  <c r="K66" i="7" l="1"/>
  <c r="L60" i="7" s="1"/>
  <c r="L66" i="7" l="1"/>
  <c r="M60" i="7" s="1"/>
  <c r="J15" i="49"/>
  <c r="Q15" i="49"/>
  <c r="C15" i="49"/>
  <c r="J12" i="49"/>
  <c r="Q12" i="49"/>
  <c r="W1" i="49"/>
  <c r="J1" i="20" s="1"/>
  <c r="J1" i="21" s="1"/>
  <c r="R1" i="22" s="1"/>
  <c r="M64" i="7" l="1"/>
  <c r="L64" i="7"/>
  <c r="M66" i="7"/>
  <c r="N60" i="7" s="1"/>
  <c r="H1" i="48"/>
  <c r="H26" i="48"/>
  <c r="E26" i="48"/>
  <c r="D26" i="48"/>
  <c r="H25" i="48"/>
  <c r="E25" i="48"/>
  <c r="D25" i="48"/>
  <c r="G27" i="48"/>
  <c r="F27" i="48"/>
  <c r="W13" i="53"/>
  <c r="V13" i="53"/>
  <c r="U13" i="53"/>
  <c r="T13" i="53"/>
  <c r="S13" i="53"/>
  <c r="P13" i="53"/>
  <c r="O13" i="53"/>
  <c r="N13" i="53"/>
  <c r="M13" i="53"/>
  <c r="L13" i="53"/>
  <c r="I13" i="53"/>
  <c r="H13" i="53"/>
  <c r="G13" i="53"/>
  <c r="F13" i="53"/>
  <c r="N66" i="7" l="1"/>
  <c r="O60" i="7" s="1"/>
  <c r="E27" i="48"/>
  <c r="G25" i="48"/>
  <c r="D27" i="48"/>
  <c r="H27" i="48"/>
  <c r="F25" i="48"/>
  <c r="F26" i="48"/>
  <c r="G26" i="48"/>
  <c r="T79" i="53"/>
  <c r="T72" i="53" s="1"/>
  <c r="G79" i="53"/>
  <c r="V79" i="53"/>
  <c r="S79" i="53"/>
  <c r="V66" i="53"/>
  <c r="E66" i="53"/>
  <c r="P66" i="53"/>
  <c r="O66" i="53"/>
  <c r="G66" i="53"/>
  <c r="K61" i="53"/>
  <c r="U49" i="53"/>
  <c r="T49" i="53"/>
  <c r="G49" i="53"/>
  <c r="V49" i="53"/>
  <c r="R49" i="53"/>
  <c r="N49" i="53"/>
  <c r="D49" i="53"/>
  <c r="R36" i="53"/>
  <c r="T36" i="53"/>
  <c r="O36" i="53"/>
  <c r="G36" i="53"/>
  <c r="G28" i="53" s="1"/>
  <c r="T24" i="53"/>
  <c r="V24" i="53"/>
  <c r="S24" i="53"/>
  <c r="I24" i="53"/>
  <c r="R18" i="53"/>
  <c r="M18" i="53"/>
  <c r="U18" i="53"/>
  <c r="L18" i="53"/>
  <c r="K18" i="53"/>
  <c r="U12" i="53"/>
  <c r="P12" i="53"/>
  <c r="V12" i="53"/>
  <c r="R12" i="53"/>
  <c r="N12" i="53"/>
  <c r="N87" i="53" s="1"/>
  <c r="F12" i="53"/>
  <c r="AL12" i="54"/>
  <c r="AL11" i="54" s="1"/>
  <c r="AL84" i="54" s="1"/>
  <c r="AK12" i="54"/>
  <c r="AK11" i="54" s="1"/>
  <c r="AK84" i="54" s="1"/>
  <c r="AJ12" i="54"/>
  <c r="AJ11" i="54" s="1"/>
  <c r="AJ84" i="54" s="1"/>
  <c r="AI12" i="54"/>
  <c r="AI11" i="54" s="1"/>
  <c r="AI84" i="54" s="1"/>
  <c r="AH12" i="54"/>
  <c r="AH11" i="54" s="1"/>
  <c r="AH84" i="54" s="1"/>
  <c r="AG12" i="54"/>
  <c r="AG11" i="54" s="1"/>
  <c r="AG84" i="54" s="1"/>
  <c r="AF12" i="54"/>
  <c r="AF11" i="54" s="1"/>
  <c r="AF84" i="54" s="1"/>
  <c r="AE12" i="54"/>
  <c r="AE11" i="54" s="1"/>
  <c r="AE84" i="54" s="1"/>
  <c r="AD12" i="54"/>
  <c r="AD11" i="54" s="1"/>
  <c r="AD84" i="54" s="1"/>
  <c r="AC12" i="54"/>
  <c r="AC11" i="54" s="1"/>
  <c r="AC84" i="54" s="1"/>
  <c r="AA12" i="54"/>
  <c r="Z12" i="54"/>
  <c r="Z11" i="54" s="1"/>
  <c r="Z84" i="54" s="1"/>
  <c r="Y12" i="54"/>
  <c r="Y11" i="54" s="1"/>
  <c r="Y84" i="54" s="1"/>
  <c r="X12" i="54"/>
  <c r="X11" i="54" s="1"/>
  <c r="X84" i="54" s="1"/>
  <c r="W12" i="54"/>
  <c r="W11" i="54" s="1"/>
  <c r="W84" i="54" s="1"/>
  <c r="V12" i="54"/>
  <c r="V11" i="54" s="1"/>
  <c r="V84" i="54" s="1"/>
  <c r="U12" i="54"/>
  <c r="U11" i="54" s="1"/>
  <c r="U84" i="54" s="1"/>
  <c r="T12" i="54"/>
  <c r="T11" i="54" s="1"/>
  <c r="T84" i="54" s="1"/>
  <c r="S12" i="54"/>
  <c r="S11" i="54" s="1"/>
  <c r="S84" i="54" s="1"/>
  <c r="R12" i="54"/>
  <c r="R11" i="54" s="1"/>
  <c r="R84" i="54" s="1"/>
  <c r="Q12" i="54"/>
  <c r="Q11" i="54" s="1"/>
  <c r="Q84" i="54" s="1"/>
  <c r="P12" i="54"/>
  <c r="O12" i="54"/>
  <c r="N12" i="54"/>
  <c r="N11" i="54" s="1"/>
  <c r="N84" i="54" s="1"/>
  <c r="M12" i="54"/>
  <c r="M11" i="54" s="1"/>
  <c r="M84" i="54" s="1"/>
  <c r="L12" i="54"/>
  <c r="L11" i="54" s="1"/>
  <c r="L84" i="54" s="1"/>
  <c r="K12" i="54"/>
  <c r="K11" i="54" s="1"/>
  <c r="K84" i="54" s="1"/>
  <c r="J12" i="54"/>
  <c r="J11" i="54" s="1"/>
  <c r="J84" i="54" s="1"/>
  <c r="I12" i="54"/>
  <c r="I11" i="54" s="1"/>
  <c r="I84" i="54" s="1"/>
  <c r="H12" i="54"/>
  <c r="H11" i="54" s="1"/>
  <c r="H84" i="54" s="1"/>
  <c r="G12" i="54"/>
  <c r="G11" i="54" s="1"/>
  <c r="G84" i="54" s="1"/>
  <c r="F12" i="54"/>
  <c r="F11" i="54" s="1"/>
  <c r="F84" i="54" s="1"/>
  <c r="D12" i="54"/>
  <c r="C12" i="54"/>
  <c r="M79" i="53"/>
  <c r="M72" i="53" s="1"/>
  <c r="AD79" i="53"/>
  <c r="AD72" i="53" s="1"/>
  <c r="AC79" i="53"/>
  <c r="AC72" i="53" s="1"/>
  <c r="AB79" i="53"/>
  <c r="AA79" i="53"/>
  <c r="AA72" i="53" s="1"/>
  <c r="Z79" i="53"/>
  <c r="Z72" i="53" s="1"/>
  <c r="Y79" i="53"/>
  <c r="Y72" i="53" s="1"/>
  <c r="X79" i="53"/>
  <c r="X72" i="53" s="1"/>
  <c r="Q79" i="53"/>
  <c r="Q72" i="53" s="1"/>
  <c r="J79" i="53"/>
  <c r="J72" i="53" s="1"/>
  <c r="C79" i="53"/>
  <c r="C72" i="53" s="1"/>
  <c r="AB72" i="53"/>
  <c r="U66" i="53"/>
  <c r="AD66" i="53"/>
  <c r="AC66" i="53"/>
  <c r="AB66" i="53"/>
  <c r="AA66" i="53"/>
  <c r="Z66" i="53"/>
  <c r="Y66" i="53"/>
  <c r="X66" i="53"/>
  <c r="Q66" i="53"/>
  <c r="J66" i="53"/>
  <c r="C66" i="53"/>
  <c r="V61" i="53"/>
  <c r="AD61" i="53"/>
  <c r="AC61" i="53"/>
  <c r="AB61" i="53"/>
  <c r="AA61" i="53"/>
  <c r="Z61" i="53"/>
  <c r="Y61" i="53"/>
  <c r="X61" i="53"/>
  <c r="Q61" i="53"/>
  <c r="J61" i="53"/>
  <c r="AD57" i="53"/>
  <c r="AC57" i="53"/>
  <c r="AB57" i="53"/>
  <c r="AA57" i="53"/>
  <c r="Z57" i="53"/>
  <c r="Y57" i="53"/>
  <c r="X57" i="53"/>
  <c r="Q57" i="53"/>
  <c r="AD53" i="53"/>
  <c r="AC53" i="53"/>
  <c r="AB53" i="53"/>
  <c r="AA53" i="53"/>
  <c r="Z53" i="53"/>
  <c r="Y53" i="53"/>
  <c r="X53" i="53"/>
  <c r="F49" i="53"/>
  <c r="AD49" i="53"/>
  <c r="AC49" i="53"/>
  <c r="AB49" i="53"/>
  <c r="AA49" i="53"/>
  <c r="Z49" i="53"/>
  <c r="Y49" i="53"/>
  <c r="X49" i="53"/>
  <c r="Q49" i="53"/>
  <c r="J49" i="53"/>
  <c r="C49" i="53"/>
  <c r="M36" i="53"/>
  <c r="AD36" i="53"/>
  <c r="AC36" i="53"/>
  <c r="AC28" i="53" s="1"/>
  <c r="AB36" i="53"/>
  <c r="AA36" i="53"/>
  <c r="Z36" i="53"/>
  <c r="Y36" i="53"/>
  <c r="X36" i="53"/>
  <c r="Q36" i="53"/>
  <c r="J36" i="53"/>
  <c r="E36" i="53"/>
  <c r="C36" i="53"/>
  <c r="C28" i="53" s="1"/>
  <c r="AD24" i="53"/>
  <c r="AC24" i="53"/>
  <c r="AB24" i="53"/>
  <c r="AA24" i="53"/>
  <c r="Z24" i="53"/>
  <c r="Y24" i="53"/>
  <c r="X24" i="53"/>
  <c r="Q24" i="53"/>
  <c r="J24" i="53"/>
  <c r="C24" i="53"/>
  <c r="AD18" i="53"/>
  <c r="AC18" i="53"/>
  <c r="AB18" i="53"/>
  <c r="AA18" i="53"/>
  <c r="Z18" i="53"/>
  <c r="Y18" i="53"/>
  <c r="X18" i="53"/>
  <c r="Q18" i="53"/>
  <c r="J18" i="53"/>
  <c r="C18" i="53"/>
  <c r="K12" i="53"/>
  <c r="AD12" i="53"/>
  <c r="AD87" i="53" s="1"/>
  <c r="AC12" i="53"/>
  <c r="AC87" i="53" s="1"/>
  <c r="AB12" i="53"/>
  <c r="AB87" i="53" s="1"/>
  <c r="AA12" i="53"/>
  <c r="AA87" i="53" s="1"/>
  <c r="Z12" i="53"/>
  <c r="Z87" i="53" s="1"/>
  <c r="Y12" i="53"/>
  <c r="Y87" i="53" s="1"/>
  <c r="X12" i="53"/>
  <c r="X87" i="53" s="1"/>
  <c r="Q12" i="53"/>
  <c r="J12" i="53"/>
  <c r="C12" i="53"/>
  <c r="P10" i="53"/>
  <c r="O10" i="53"/>
  <c r="N10" i="53"/>
  <c r="M10" i="53"/>
  <c r="L10" i="53"/>
  <c r="K10" i="53"/>
  <c r="J10" i="53"/>
  <c r="AE44" i="51"/>
  <c r="V44" i="51"/>
  <c r="Q44" i="51"/>
  <c r="K44" i="51"/>
  <c r="H44" i="51"/>
  <c r="G44" i="51"/>
  <c r="AE30" i="51"/>
  <c r="AE29" i="51" s="1"/>
  <c r="AC30" i="51"/>
  <c r="AC29" i="51" s="1"/>
  <c r="AA30" i="51"/>
  <c r="AA29" i="51" s="1"/>
  <c r="X30" i="51"/>
  <c r="X29" i="51" s="1"/>
  <c r="V30" i="51"/>
  <c r="V29" i="51" s="1"/>
  <c r="Q30" i="51"/>
  <c r="Q29" i="51" s="1"/>
  <c r="K30" i="51"/>
  <c r="K29" i="51" s="1"/>
  <c r="J30" i="51"/>
  <c r="J29" i="51" s="1"/>
  <c r="H30" i="51"/>
  <c r="H29" i="51" s="1"/>
  <c r="G30" i="51"/>
  <c r="G29" i="51" s="1"/>
  <c r="AE24" i="51"/>
  <c r="AC24" i="51"/>
  <c r="X24" i="51"/>
  <c r="V24" i="51"/>
  <c r="Q24" i="51"/>
  <c r="O24" i="51"/>
  <c r="M24" i="51"/>
  <c r="J24" i="51"/>
  <c r="H24" i="51"/>
  <c r="AF21" i="51"/>
  <c r="AB21" i="51"/>
  <c r="X21" i="51"/>
  <c r="V21" i="51"/>
  <c r="Q21" i="51"/>
  <c r="J21" i="51"/>
  <c r="AE14" i="51"/>
  <c r="AC14" i="51"/>
  <c r="AA14" i="51"/>
  <c r="Y14" i="51"/>
  <c r="X14" i="51"/>
  <c r="V14" i="51"/>
  <c r="Q14" i="51"/>
  <c r="O14" i="51"/>
  <c r="M14" i="51"/>
  <c r="K14" i="51"/>
  <c r="J14" i="51"/>
  <c r="H14" i="51"/>
  <c r="G14" i="51"/>
  <c r="AF11" i="51"/>
  <c r="AE11" i="51"/>
  <c r="AC11" i="51"/>
  <c r="AB11" i="51"/>
  <c r="X11" i="51"/>
  <c r="V11" i="51"/>
  <c r="Q11" i="51"/>
  <c r="P11" i="51"/>
  <c r="O11" i="51"/>
  <c r="N11" i="51"/>
  <c r="J11" i="51"/>
  <c r="H11" i="51"/>
  <c r="Z93" i="51"/>
  <c r="S93" i="51"/>
  <c r="L93" i="51"/>
  <c r="E93" i="51"/>
  <c r="Z79" i="51"/>
  <c r="Z78" i="51" s="1"/>
  <c r="S79" i="51"/>
  <c r="S78" i="51" s="1"/>
  <c r="L79" i="51"/>
  <c r="L78" i="51" s="1"/>
  <c r="E79" i="51"/>
  <c r="E78" i="51" s="1"/>
  <c r="Z73" i="51"/>
  <c r="S73" i="51"/>
  <c r="L73" i="51"/>
  <c r="Z70" i="51"/>
  <c r="S70" i="51"/>
  <c r="L70" i="51"/>
  <c r="E70" i="51"/>
  <c r="E66" i="51" s="1"/>
  <c r="Z63" i="51"/>
  <c r="S63" i="51"/>
  <c r="L63" i="51"/>
  <c r="E63" i="51"/>
  <c r="Z60" i="51"/>
  <c r="S60" i="51"/>
  <c r="L60" i="51"/>
  <c r="E60" i="51"/>
  <c r="Y44" i="51"/>
  <c r="U44" i="51"/>
  <c r="Z44" i="51"/>
  <c r="S44" i="51"/>
  <c r="L44" i="51"/>
  <c r="E44" i="51"/>
  <c r="U30" i="51"/>
  <c r="U29" i="51" s="1"/>
  <c r="R30" i="51"/>
  <c r="R29" i="51" s="1"/>
  <c r="O30" i="51"/>
  <c r="O29" i="51" s="1"/>
  <c r="N30" i="51"/>
  <c r="N29" i="51" s="1"/>
  <c r="I30" i="51"/>
  <c r="I29" i="51" s="1"/>
  <c r="AF30" i="51"/>
  <c r="AF29" i="51" s="1"/>
  <c r="AD30" i="51"/>
  <c r="AD29" i="51" s="1"/>
  <c r="AB30" i="51"/>
  <c r="AB29" i="51" s="1"/>
  <c r="Z30" i="51"/>
  <c r="Z29" i="51" s="1"/>
  <c r="Y30" i="51"/>
  <c r="Y29" i="51" s="1"/>
  <c r="W30" i="51"/>
  <c r="W29" i="51" s="1"/>
  <c r="S30" i="51"/>
  <c r="S29" i="51" s="1"/>
  <c r="P30" i="51"/>
  <c r="P29" i="51" s="1"/>
  <c r="L30" i="51"/>
  <c r="L29" i="51" s="1"/>
  <c r="E30" i="51"/>
  <c r="E29" i="51" s="1"/>
  <c r="W24" i="51"/>
  <c r="U24" i="51"/>
  <c r="G24" i="51"/>
  <c r="Z24" i="51"/>
  <c r="S24" i="51"/>
  <c r="L24" i="51"/>
  <c r="W21" i="51"/>
  <c r="R21" i="51"/>
  <c r="Z21" i="51"/>
  <c r="S21" i="51"/>
  <c r="L21" i="51"/>
  <c r="E21" i="51"/>
  <c r="U14" i="51"/>
  <c r="Z14" i="51"/>
  <c r="S14" i="51"/>
  <c r="L14" i="51"/>
  <c r="E14" i="51"/>
  <c r="Z11" i="51"/>
  <c r="S11" i="51"/>
  <c r="R11" i="51"/>
  <c r="L11" i="51"/>
  <c r="AF9" i="51"/>
  <c r="AE9" i="51"/>
  <c r="AD9" i="51"/>
  <c r="AC9" i="51"/>
  <c r="AB9" i="51"/>
  <c r="AA9" i="51"/>
  <c r="L9" i="51"/>
  <c r="S9" i="51" s="1"/>
  <c r="Z9" i="51" s="1"/>
  <c r="S257" i="50"/>
  <c r="L257" i="50"/>
  <c r="T256" i="50"/>
  <c r="M256" i="50"/>
  <c r="T254" i="50"/>
  <c r="T276" i="50" s="1"/>
  <c r="M254" i="50"/>
  <c r="M276" i="50" s="1"/>
  <c r="T237" i="50"/>
  <c r="M237" i="50"/>
  <c r="T236" i="50"/>
  <c r="M236" i="50"/>
  <c r="S235" i="50"/>
  <c r="L235" i="50"/>
  <c r="F256" i="50"/>
  <c r="F278" i="50" s="1"/>
  <c r="R213" i="50"/>
  <c r="P29" i="7" s="1"/>
  <c r="P31" i="7" s="1"/>
  <c r="Q213" i="50"/>
  <c r="O29" i="7" s="1"/>
  <c r="O31" i="7" s="1"/>
  <c r="P213" i="50"/>
  <c r="N29" i="7" s="1"/>
  <c r="N31" i="7" s="1"/>
  <c r="O213" i="50"/>
  <c r="M29" i="7" s="1"/>
  <c r="M31" i="7" s="1"/>
  <c r="N213" i="50"/>
  <c r="L29" i="7" s="1"/>
  <c r="L31" i="7" s="1"/>
  <c r="M213" i="50"/>
  <c r="K29" i="7" s="1"/>
  <c r="K31" i="7" s="1"/>
  <c r="L213" i="50"/>
  <c r="J29" i="7" s="1"/>
  <c r="J31" i="7" s="1"/>
  <c r="E213" i="50"/>
  <c r="C29" i="7" s="1"/>
  <c r="C31" i="7" s="1"/>
  <c r="Y191" i="50"/>
  <c r="X191" i="50"/>
  <c r="W191" i="50"/>
  <c r="V191" i="50"/>
  <c r="U191" i="50"/>
  <c r="T191" i="50"/>
  <c r="S191" i="50"/>
  <c r="R191" i="50"/>
  <c r="Q191" i="50"/>
  <c r="P191" i="50"/>
  <c r="O191" i="50"/>
  <c r="N191" i="50"/>
  <c r="M191" i="50"/>
  <c r="L191" i="50"/>
  <c r="K191" i="50"/>
  <c r="J191" i="50"/>
  <c r="I191" i="50"/>
  <c r="H191" i="50"/>
  <c r="E191" i="50"/>
  <c r="S170" i="50"/>
  <c r="L170" i="50"/>
  <c r="E170" i="50"/>
  <c r="S150" i="50"/>
  <c r="L150" i="50"/>
  <c r="E150" i="50"/>
  <c r="S130" i="50"/>
  <c r="L130" i="50"/>
  <c r="S110" i="50"/>
  <c r="L110" i="50"/>
  <c r="E110" i="50"/>
  <c r="R7" i="50"/>
  <c r="Y7" i="50" s="1"/>
  <c r="Q7" i="50"/>
  <c r="X7" i="50" s="1"/>
  <c r="P7" i="50"/>
  <c r="W7" i="50" s="1"/>
  <c r="O7" i="50"/>
  <c r="V7" i="50" s="1"/>
  <c r="N7" i="50"/>
  <c r="U7" i="50" s="1"/>
  <c r="M7" i="50"/>
  <c r="T7" i="50" s="1"/>
  <c r="L7" i="50"/>
  <c r="S7" i="50" s="1"/>
  <c r="Y28" i="53" l="1"/>
  <c r="J28" i="53"/>
  <c r="J91" i="53" s="1"/>
  <c r="J102" i="53" s="1"/>
  <c r="Z28" i="53"/>
  <c r="AD28" i="53"/>
  <c r="T28" i="53"/>
  <c r="T91" i="53" s="1"/>
  <c r="T102" i="53" s="1"/>
  <c r="N64" i="7"/>
  <c r="Q28" i="53"/>
  <c r="Q91" i="53" s="1"/>
  <c r="Q102" i="53" s="1"/>
  <c r="X28" i="53"/>
  <c r="AB28" i="53"/>
  <c r="AA28" i="53"/>
  <c r="R28" i="53"/>
  <c r="R91" i="53" s="1"/>
  <c r="R102" i="53" s="1"/>
  <c r="J87" i="53"/>
  <c r="J94" i="53" s="1"/>
  <c r="J105" i="53" s="1"/>
  <c r="Q87" i="53"/>
  <c r="Q94" i="53" s="1"/>
  <c r="Q105" i="53" s="1"/>
  <c r="E279" i="50"/>
  <c r="Q27" i="7"/>
  <c r="Q55" i="53"/>
  <c r="C55" i="53"/>
  <c r="C27" i="7"/>
  <c r="J27" i="7"/>
  <c r="J55" i="53"/>
  <c r="O66" i="7"/>
  <c r="P60" i="7" s="1"/>
  <c r="U10" i="53"/>
  <c r="N90" i="53"/>
  <c r="R10" i="53"/>
  <c r="K90" i="53"/>
  <c r="V10" i="53"/>
  <c r="O90" i="53"/>
  <c r="T10" i="53"/>
  <c r="M90" i="53"/>
  <c r="Q10" i="53"/>
  <c r="J90" i="53"/>
  <c r="S10" i="53"/>
  <c r="L90" i="53"/>
  <c r="W10" i="53"/>
  <c r="P90" i="53"/>
  <c r="Q92" i="53"/>
  <c r="Q103" i="53" s="1"/>
  <c r="B27" i="47"/>
  <c r="B31" i="47"/>
  <c r="B32" i="47"/>
  <c r="Z32" i="60"/>
  <c r="Z35" i="60"/>
  <c r="Z36" i="60"/>
  <c r="Q32" i="60"/>
  <c r="Q36" i="60"/>
  <c r="Q35" i="60"/>
  <c r="AA32" i="60"/>
  <c r="AA35" i="60"/>
  <c r="AA36" i="60"/>
  <c r="AD32" i="60"/>
  <c r="AD36" i="60"/>
  <c r="AD35" i="60"/>
  <c r="X32" i="60"/>
  <c r="X36" i="60"/>
  <c r="X35" i="60"/>
  <c r="AB32" i="60"/>
  <c r="AB36" i="60"/>
  <c r="AB35" i="60"/>
  <c r="Y32" i="60"/>
  <c r="Y35" i="60"/>
  <c r="Y36" i="60"/>
  <c r="AC32" i="60"/>
  <c r="AC35" i="60"/>
  <c r="AC36" i="60"/>
  <c r="S66" i="51"/>
  <c r="S59" i="51" s="1"/>
  <c r="N94" i="53"/>
  <c r="N105" i="53" s="1"/>
  <c r="E59" i="51"/>
  <c r="L84" i="50"/>
  <c r="L282" i="50" s="1"/>
  <c r="F236" i="50"/>
  <c r="F258" i="50" s="1"/>
  <c r="F213" i="50"/>
  <c r="D29" i="7" s="1"/>
  <c r="D31" i="7" s="1"/>
  <c r="S84" i="50"/>
  <c r="S282" i="50" s="1"/>
  <c r="K213" i="50"/>
  <c r="I29" i="7" s="1"/>
  <c r="I31" i="7" s="1"/>
  <c r="E282" i="50"/>
  <c r="G213" i="50"/>
  <c r="E29" i="7" s="1"/>
  <c r="E31" i="7" s="1"/>
  <c r="C11" i="49"/>
  <c r="E59" i="50"/>
  <c r="C14" i="49" s="1"/>
  <c r="I213" i="50"/>
  <c r="G29" i="7" s="1"/>
  <c r="G31" i="7" s="1"/>
  <c r="Q11" i="53"/>
  <c r="Z11" i="53"/>
  <c r="S17" i="51"/>
  <c r="L17" i="51"/>
  <c r="Z17" i="51"/>
  <c r="E17" i="51"/>
  <c r="L66" i="51"/>
  <c r="L59" i="51" s="1"/>
  <c r="Z66" i="51"/>
  <c r="D11" i="54"/>
  <c r="P11" i="54"/>
  <c r="AA11" i="54"/>
  <c r="O12" i="53"/>
  <c r="T12" i="53"/>
  <c r="M12" i="53"/>
  <c r="H18" i="53"/>
  <c r="V18" i="53"/>
  <c r="V11" i="53" s="1"/>
  <c r="O18" i="53"/>
  <c r="T18" i="53"/>
  <c r="F24" i="53"/>
  <c r="K24" i="53"/>
  <c r="O24" i="53"/>
  <c r="M24" i="53"/>
  <c r="R24" i="53"/>
  <c r="R11" i="53" s="1"/>
  <c r="K87" i="53"/>
  <c r="D87" i="53"/>
  <c r="D36" i="53"/>
  <c r="D28" i="53" s="1"/>
  <c r="H36" i="53"/>
  <c r="V36" i="53"/>
  <c r="V28" i="53" s="1"/>
  <c r="F36" i="53"/>
  <c r="K36" i="53"/>
  <c r="K49" i="53"/>
  <c r="O49" i="53"/>
  <c r="H49" i="53"/>
  <c r="M49" i="53"/>
  <c r="M61" i="53"/>
  <c r="R61" i="53"/>
  <c r="O61" i="53"/>
  <c r="T61" i="53"/>
  <c r="D66" i="53"/>
  <c r="H66" i="53"/>
  <c r="G31" i="47" s="1"/>
  <c r="M66" i="53"/>
  <c r="R66" i="53"/>
  <c r="F66" i="53"/>
  <c r="K66" i="53"/>
  <c r="T66" i="53"/>
  <c r="F79" i="53"/>
  <c r="F72" i="53" s="1"/>
  <c r="E32" i="47" s="1"/>
  <c r="K79" i="53"/>
  <c r="K72" i="53" s="1"/>
  <c r="O79" i="53"/>
  <c r="O72" i="53" s="1"/>
  <c r="D79" i="53"/>
  <c r="D72" i="53" s="1"/>
  <c r="H79" i="53"/>
  <c r="H72" i="53" s="1"/>
  <c r="R79" i="53"/>
  <c r="R72" i="53" s="1"/>
  <c r="AA11" i="53"/>
  <c r="X11" i="53"/>
  <c r="AB11" i="53"/>
  <c r="Y11" i="53"/>
  <c r="AC11" i="53"/>
  <c r="G12" i="53"/>
  <c r="L12" i="53"/>
  <c r="E12" i="53"/>
  <c r="I12" i="53"/>
  <c r="S12" i="53"/>
  <c r="W12" i="53"/>
  <c r="E18" i="53"/>
  <c r="I18" i="53"/>
  <c r="N18" i="53"/>
  <c r="S18" i="53"/>
  <c r="W18" i="53"/>
  <c r="G18" i="53"/>
  <c r="P18" i="53"/>
  <c r="G24" i="53"/>
  <c r="L24" i="53"/>
  <c r="P24" i="53"/>
  <c r="U24" i="53"/>
  <c r="U11" i="53" s="1"/>
  <c r="E24" i="53"/>
  <c r="S36" i="53"/>
  <c r="S61" i="53"/>
  <c r="N66" i="53"/>
  <c r="F31" i="47" s="1"/>
  <c r="N24" i="53"/>
  <c r="W24" i="53"/>
  <c r="G91" i="53"/>
  <c r="G102" i="53" s="1"/>
  <c r="P87" i="53"/>
  <c r="I36" i="53"/>
  <c r="N36" i="53"/>
  <c r="W36" i="53"/>
  <c r="L36" i="53"/>
  <c r="P36" i="53"/>
  <c r="U36" i="53"/>
  <c r="U28" i="53" s="1"/>
  <c r="L49" i="53"/>
  <c r="P49" i="53"/>
  <c r="E49" i="53"/>
  <c r="E28" i="53" s="1"/>
  <c r="I49" i="53"/>
  <c r="S49" i="53"/>
  <c r="W49" i="53"/>
  <c r="N61" i="53"/>
  <c r="W61" i="53"/>
  <c r="L61" i="53"/>
  <c r="P61" i="53"/>
  <c r="U61" i="53"/>
  <c r="I66" i="53"/>
  <c r="S66" i="53"/>
  <c r="W66" i="53"/>
  <c r="L66" i="53"/>
  <c r="S72" i="53"/>
  <c r="G72" i="53"/>
  <c r="L79" i="53"/>
  <c r="L72" i="53" s="1"/>
  <c r="P79" i="53"/>
  <c r="P72" i="53" s="1"/>
  <c r="U79" i="53"/>
  <c r="U72" i="53" s="1"/>
  <c r="E79" i="53"/>
  <c r="E72" i="53" s="1"/>
  <c r="I79" i="53"/>
  <c r="I72" i="53" s="1"/>
  <c r="N79" i="53"/>
  <c r="N72" i="53" s="1"/>
  <c r="W79" i="53"/>
  <c r="W72" i="53" s="1"/>
  <c r="AD11" i="53"/>
  <c r="C91" i="53"/>
  <c r="C102" i="53" s="1"/>
  <c r="D24" i="53"/>
  <c r="H24" i="53"/>
  <c r="H12" i="53"/>
  <c r="F18" i="53"/>
  <c r="V72" i="53"/>
  <c r="W17" i="51"/>
  <c r="AA24" i="51"/>
  <c r="I24" i="51"/>
  <c r="O21" i="51"/>
  <c r="O17" i="51" s="1"/>
  <c r="AC21" i="51"/>
  <c r="AC17" i="51" s="1"/>
  <c r="K11" i="51"/>
  <c r="AD11" i="51"/>
  <c r="P14" i="51"/>
  <c r="AD14" i="51"/>
  <c r="V17" i="51"/>
  <c r="M44" i="51"/>
  <c r="P21" i="51"/>
  <c r="AD21" i="51"/>
  <c r="AA44" i="51"/>
  <c r="AF24" i="51"/>
  <c r="AF17" i="51" s="1"/>
  <c r="W44" i="51"/>
  <c r="I14" i="51"/>
  <c r="Q17" i="51"/>
  <c r="H21" i="51"/>
  <c r="H17" i="51" s="1"/>
  <c r="AE21" i="51"/>
  <c r="AE17" i="51" s="1"/>
  <c r="O44" i="51"/>
  <c r="AC44" i="51"/>
  <c r="AB24" i="51"/>
  <c r="AB17" i="51" s="1"/>
  <c r="I44" i="51"/>
  <c r="I11" i="51"/>
  <c r="W11" i="51"/>
  <c r="W14" i="51"/>
  <c r="AF14" i="51"/>
  <c r="S34" i="50"/>
  <c r="K24" i="51"/>
  <c r="P24" i="51"/>
  <c r="Y24" i="51"/>
  <c r="AD24" i="51"/>
  <c r="P44" i="51"/>
  <c r="AD44" i="51"/>
  <c r="L34" i="50"/>
  <c r="S59" i="50"/>
  <c r="Q14" i="49" s="1"/>
  <c r="R14" i="49" s="1"/>
  <c r="H213" i="50"/>
  <c r="F29" i="7" s="1"/>
  <c r="F31" i="7" s="1"/>
  <c r="J213" i="50"/>
  <c r="H29" i="7" s="1"/>
  <c r="H31" i="7" s="1"/>
  <c r="F237" i="50"/>
  <c r="F259" i="50" s="1"/>
  <c r="L59" i="50"/>
  <c r="J14" i="49" s="1"/>
  <c r="K14" i="49" s="1"/>
  <c r="N254" i="50"/>
  <c r="N276" i="50" s="1"/>
  <c r="J17" i="51"/>
  <c r="T278" i="50"/>
  <c r="U256" i="50"/>
  <c r="U254" i="50"/>
  <c r="U276" i="50" s="1"/>
  <c r="M30" i="51"/>
  <c r="M29" i="51" s="1"/>
  <c r="G11" i="51"/>
  <c r="F14" i="51"/>
  <c r="T14" i="51"/>
  <c r="AB14" i="51"/>
  <c r="AA21" i="51"/>
  <c r="M259" i="50"/>
  <c r="N237" i="50"/>
  <c r="M11" i="51"/>
  <c r="AA60" i="51"/>
  <c r="AA11" i="51"/>
  <c r="I21" i="51"/>
  <c r="N21" i="51"/>
  <c r="F24" i="51"/>
  <c r="T24" i="51"/>
  <c r="T258" i="50"/>
  <c r="U236" i="50"/>
  <c r="M278" i="50"/>
  <c r="N256" i="50"/>
  <c r="AA63" i="51"/>
  <c r="X17" i="51"/>
  <c r="F21" i="51"/>
  <c r="T21" i="51"/>
  <c r="AA73" i="51"/>
  <c r="M258" i="50"/>
  <c r="N236" i="50"/>
  <c r="M235" i="50"/>
  <c r="T259" i="50"/>
  <c r="U237" i="50"/>
  <c r="G256" i="50"/>
  <c r="G278" i="50" s="1"/>
  <c r="F11" i="51"/>
  <c r="T11" i="51"/>
  <c r="U11" i="51"/>
  <c r="Y11" i="51"/>
  <c r="N14" i="51"/>
  <c r="R14" i="51"/>
  <c r="F30" i="51"/>
  <c r="F29" i="51" s="1"/>
  <c r="T30" i="51"/>
  <c r="T29" i="51" s="1"/>
  <c r="G21" i="51"/>
  <c r="G17" i="51" s="1"/>
  <c r="K21" i="51"/>
  <c r="U21" i="51"/>
  <c r="U17" i="51" s="1"/>
  <c r="Y21" i="51"/>
  <c r="N24" i="51"/>
  <c r="R24" i="51"/>
  <c r="R17" i="51" s="1"/>
  <c r="F44" i="51"/>
  <c r="J44" i="51"/>
  <c r="T44" i="51"/>
  <c r="X44" i="51"/>
  <c r="N44" i="51"/>
  <c r="R44" i="51"/>
  <c r="AB44" i="51"/>
  <c r="AF44" i="51"/>
  <c r="M21" i="51"/>
  <c r="T70" i="51"/>
  <c r="L28" i="53" l="1"/>
  <c r="AA84" i="53"/>
  <c r="E33" i="47" s="1"/>
  <c r="E29" i="48" s="1"/>
  <c r="H28" i="53"/>
  <c r="O64" i="7"/>
  <c r="O28" i="53"/>
  <c r="O91" i="53" s="1"/>
  <c r="O102" i="53" s="1"/>
  <c r="N28" i="53"/>
  <c r="N91" i="53" s="1"/>
  <c r="N102" i="53" s="1"/>
  <c r="K28" i="53"/>
  <c r="K91" i="53" s="1"/>
  <c r="K102" i="53" s="1"/>
  <c r="M28" i="53"/>
  <c r="M91" i="53" s="1"/>
  <c r="M102" i="53" s="1"/>
  <c r="W28" i="53"/>
  <c r="W91" i="53" s="1"/>
  <c r="W102" i="53" s="1"/>
  <c r="E91" i="53"/>
  <c r="E102" i="53" s="1"/>
  <c r="P28" i="53"/>
  <c r="P91" i="53" s="1"/>
  <c r="P102" i="53" s="1"/>
  <c r="I28" i="53"/>
  <c r="I91" i="53" s="1"/>
  <c r="I102" i="53" s="1"/>
  <c r="S28" i="53"/>
  <c r="S91" i="53" s="1"/>
  <c r="S102" i="53" s="1"/>
  <c r="F28" i="53"/>
  <c r="F91" i="53" s="1"/>
  <c r="F102" i="53" s="1"/>
  <c r="Z10" i="51"/>
  <c r="Z59" i="51"/>
  <c r="T87" i="53"/>
  <c r="T94" i="53" s="1"/>
  <c r="T105" i="53" s="1"/>
  <c r="P94" i="53"/>
  <c r="P105" i="53" s="1"/>
  <c r="W87" i="53"/>
  <c r="W94" i="53" s="1"/>
  <c r="W105" i="53" s="1"/>
  <c r="L87" i="53"/>
  <c r="L94" i="53" s="1"/>
  <c r="L105" i="53" s="1"/>
  <c r="R87" i="53"/>
  <c r="R94" i="53" s="1"/>
  <c r="R105" i="53" s="1"/>
  <c r="K94" i="53"/>
  <c r="K105" i="53" s="1"/>
  <c r="V87" i="53"/>
  <c r="V94" i="53" s="1"/>
  <c r="V105" i="53" s="1"/>
  <c r="U87" i="53"/>
  <c r="U94" i="53" s="1"/>
  <c r="U105" i="53" s="1"/>
  <c r="S87" i="53"/>
  <c r="S94" i="53" s="1"/>
  <c r="S105" i="53" s="1"/>
  <c r="M87" i="53"/>
  <c r="M94" i="53" s="1"/>
  <c r="M105" i="53" s="1"/>
  <c r="O87" i="53"/>
  <c r="O94" i="53" s="1"/>
  <c r="O105" i="53" s="1"/>
  <c r="J54" i="53"/>
  <c r="J53" i="53" s="1"/>
  <c r="D15" i="20" s="1"/>
  <c r="J25" i="7"/>
  <c r="Q25" i="7"/>
  <c r="Q54" i="53"/>
  <c r="C54" i="53"/>
  <c r="C25" i="7"/>
  <c r="P66" i="7"/>
  <c r="P64" i="7" s="1"/>
  <c r="Y84" i="53"/>
  <c r="C33" i="47" s="1"/>
  <c r="C29" i="48" s="1"/>
  <c r="AC84" i="53"/>
  <c r="G33" i="47" s="1"/>
  <c r="G29" i="48" s="1"/>
  <c r="AD10" i="53"/>
  <c r="W90" i="53"/>
  <c r="X10" i="53"/>
  <c r="Q90" i="53"/>
  <c r="AC10" i="53"/>
  <c r="V90" i="53"/>
  <c r="AB10" i="53"/>
  <c r="U90" i="53"/>
  <c r="Z10" i="53"/>
  <c r="S90" i="53"/>
  <c r="AA10" i="53"/>
  <c r="T90" i="53"/>
  <c r="Y10" i="53"/>
  <c r="R90" i="53"/>
  <c r="B25" i="47"/>
  <c r="C31" i="47"/>
  <c r="C32" i="47"/>
  <c r="G236" i="50"/>
  <c r="G258" i="50" s="1"/>
  <c r="H91" i="53"/>
  <c r="H102" i="53" s="1"/>
  <c r="T11" i="53"/>
  <c r="Y17" i="51"/>
  <c r="Y10" i="51" s="1"/>
  <c r="AE10" i="51"/>
  <c r="Q10" i="51"/>
  <c r="X10" i="51"/>
  <c r="H10" i="51"/>
  <c r="AC10" i="51"/>
  <c r="AB10" i="51"/>
  <c r="AF10" i="51"/>
  <c r="D14" i="49"/>
  <c r="C13" i="49"/>
  <c r="O10" i="51"/>
  <c r="C10" i="49"/>
  <c r="D11" i="49"/>
  <c r="J10" i="51"/>
  <c r="W10" i="51"/>
  <c r="L10" i="51"/>
  <c r="R10" i="51"/>
  <c r="V10" i="51"/>
  <c r="S10" i="51"/>
  <c r="E10" i="51"/>
  <c r="U10" i="51"/>
  <c r="G10" i="51"/>
  <c r="Q11" i="49"/>
  <c r="R11" i="49" s="1"/>
  <c r="J11" i="49"/>
  <c r="K11" i="49" s="1"/>
  <c r="G237" i="50"/>
  <c r="G259" i="50" s="1"/>
  <c r="F257" i="50"/>
  <c r="L280" i="50"/>
  <c r="F235" i="50"/>
  <c r="E280" i="50"/>
  <c r="Z84" i="53"/>
  <c r="D33" i="47" s="1"/>
  <c r="D29" i="48" s="1"/>
  <c r="D32" i="47"/>
  <c r="F32" i="47"/>
  <c r="F28" i="48" s="1"/>
  <c r="H32" i="47"/>
  <c r="G32" i="47"/>
  <c r="G28" i="48" s="1"/>
  <c r="L281" i="50"/>
  <c r="S281" i="50"/>
  <c r="E281" i="50"/>
  <c r="E284" i="50" s="1"/>
  <c r="X84" i="53"/>
  <c r="B33" i="47" s="1"/>
  <c r="S279" i="50"/>
  <c r="L279" i="50"/>
  <c r="AB84" i="53"/>
  <c r="F33" i="47" s="1"/>
  <c r="F29" i="48" s="1"/>
  <c r="E25" i="47"/>
  <c r="E22" i="48" s="1"/>
  <c r="H31" i="47"/>
  <c r="D91" i="53"/>
  <c r="D102" i="53" s="1"/>
  <c r="D31" i="47"/>
  <c r="E31" i="47"/>
  <c r="E28" i="48" s="1"/>
  <c r="V91" i="53"/>
  <c r="V102" i="53" s="1"/>
  <c r="S11" i="53"/>
  <c r="AD84" i="53"/>
  <c r="H33" i="47" s="1"/>
  <c r="H29" i="48" s="1"/>
  <c r="L91" i="53"/>
  <c r="L102" i="53" s="1"/>
  <c r="W11" i="53"/>
  <c r="W70" i="51"/>
  <c r="K17" i="51"/>
  <c r="K10" i="51" s="1"/>
  <c r="AA70" i="51"/>
  <c r="AA66" i="51" s="1"/>
  <c r="AA17" i="51"/>
  <c r="AA10" i="51" s="1"/>
  <c r="AF60" i="51"/>
  <c r="AC60" i="51"/>
  <c r="AE70" i="51"/>
  <c r="O70" i="51"/>
  <c r="I17" i="51"/>
  <c r="I10" i="51" s="1"/>
  <c r="P17" i="51"/>
  <c r="P10" i="51" s="1"/>
  <c r="V70" i="51"/>
  <c r="M70" i="51"/>
  <c r="U70" i="51"/>
  <c r="K70" i="51"/>
  <c r="AD17" i="51"/>
  <c r="AD10" i="51" s="1"/>
  <c r="F70" i="51"/>
  <c r="Y70" i="51"/>
  <c r="I70" i="51"/>
  <c r="Q70" i="51"/>
  <c r="K79" i="51"/>
  <c r="K78" i="51" s="1"/>
  <c r="H70" i="51"/>
  <c r="AD79" i="51"/>
  <c r="AD78" i="51" s="1"/>
  <c r="AF70" i="51"/>
  <c r="AC93" i="51"/>
  <c r="AB70" i="51"/>
  <c r="R70" i="51"/>
  <c r="X93" i="51"/>
  <c r="J93" i="51"/>
  <c r="I93" i="51"/>
  <c r="AA93" i="51"/>
  <c r="AF93" i="51"/>
  <c r="Q93" i="51"/>
  <c r="V93" i="51"/>
  <c r="AD60" i="51"/>
  <c r="M60" i="51"/>
  <c r="P79" i="51"/>
  <c r="P78" i="51" s="1"/>
  <c r="G93" i="51"/>
  <c r="W93" i="51"/>
  <c r="O93" i="51"/>
  <c r="N93" i="51"/>
  <c r="V73" i="51"/>
  <c r="G70" i="51"/>
  <c r="P70" i="51"/>
  <c r="Y93" i="51"/>
  <c r="F93" i="51"/>
  <c r="AD93" i="51"/>
  <c r="P93" i="51"/>
  <c r="R93" i="51"/>
  <c r="T79" i="51"/>
  <c r="T78" i="51" s="1"/>
  <c r="F79" i="51"/>
  <c r="F78" i="51" s="1"/>
  <c r="U259" i="50"/>
  <c r="V237" i="50"/>
  <c r="M257" i="50"/>
  <c r="AE73" i="51"/>
  <c r="AC73" i="51"/>
  <c r="P73" i="51"/>
  <c r="F17" i="51"/>
  <c r="AC63" i="51"/>
  <c r="R63" i="51"/>
  <c r="Q63" i="51"/>
  <c r="T60" i="51"/>
  <c r="K60" i="51"/>
  <c r="V254" i="50"/>
  <c r="V276" i="50" s="1"/>
  <c r="M17" i="51"/>
  <c r="T93" i="51"/>
  <c r="H93" i="51"/>
  <c r="N258" i="50"/>
  <c r="O236" i="50"/>
  <c r="N235" i="50"/>
  <c r="F73" i="51"/>
  <c r="G73" i="51"/>
  <c r="AD70" i="51"/>
  <c r="N70" i="51"/>
  <c r="AB63" i="51"/>
  <c r="X70" i="51"/>
  <c r="U93" i="51"/>
  <c r="K93" i="51"/>
  <c r="AE93" i="51"/>
  <c r="AB93" i="51"/>
  <c r="M93" i="51"/>
  <c r="W79" i="51"/>
  <c r="W78" i="51" s="1"/>
  <c r="X79" i="51"/>
  <c r="X78" i="51" s="1"/>
  <c r="J79" i="51"/>
  <c r="J78" i="51" s="1"/>
  <c r="Y63" i="51"/>
  <c r="V63" i="51"/>
  <c r="F63" i="51"/>
  <c r="AF73" i="51"/>
  <c r="Q73" i="51"/>
  <c r="AD63" i="51"/>
  <c r="N63" i="51"/>
  <c r="M63" i="51"/>
  <c r="V60" i="51"/>
  <c r="I60" i="51"/>
  <c r="J60" i="51"/>
  <c r="N79" i="51"/>
  <c r="N78" i="51" s="1"/>
  <c r="Y73" i="51"/>
  <c r="H73" i="51"/>
  <c r="AB60" i="51"/>
  <c r="AE60" i="51"/>
  <c r="R60" i="51"/>
  <c r="O60" i="51"/>
  <c r="N259" i="50"/>
  <c r="O237" i="50"/>
  <c r="I63" i="51"/>
  <c r="X63" i="51"/>
  <c r="K63" i="51"/>
  <c r="AF79" i="51"/>
  <c r="AF78" i="51" s="1"/>
  <c r="AC79" i="51"/>
  <c r="AC78" i="51" s="1"/>
  <c r="R79" i="51"/>
  <c r="R78" i="51" s="1"/>
  <c r="O254" i="50"/>
  <c r="O276" i="50" s="1"/>
  <c r="Y79" i="51"/>
  <c r="Y78" i="51" s="1"/>
  <c r="G79" i="51"/>
  <c r="G78" i="51" s="1"/>
  <c r="O73" i="51"/>
  <c r="AB73" i="51"/>
  <c r="AD73" i="51"/>
  <c r="N73" i="51"/>
  <c r="P63" i="51"/>
  <c r="Y60" i="51"/>
  <c r="X60" i="51"/>
  <c r="H60" i="51"/>
  <c r="O256" i="50"/>
  <c r="N278" i="50"/>
  <c r="V236" i="50"/>
  <c r="U258" i="50"/>
  <c r="AC70" i="51"/>
  <c r="T73" i="51"/>
  <c r="T66" i="51" s="1"/>
  <c r="U73" i="51"/>
  <c r="J73" i="51"/>
  <c r="K73" i="51"/>
  <c r="N17" i="51"/>
  <c r="N10" i="51" s="1"/>
  <c r="N60" i="51"/>
  <c r="Q60" i="51"/>
  <c r="U63" i="51"/>
  <c r="G63" i="51"/>
  <c r="J63" i="51"/>
  <c r="AE79" i="51"/>
  <c r="AE78" i="51" s="1"/>
  <c r="Q79" i="51"/>
  <c r="Q78" i="51" s="1"/>
  <c r="O79" i="51"/>
  <c r="O78" i="51" s="1"/>
  <c r="W60" i="51"/>
  <c r="U79" i="51"/>
  <c r="U78" i="51" s="1"/>
  <c r="V79" i="51"/>
  <c r="V78" i="51" s="1"/>
  <c r="H79" i="51"/>
  <c r="H78" i="51" s="1"/>
  <c r="I79" i="51"/>
  <c r="I78" i="51" s="1"/>
  <c r="H256" i="50"/>
  <c r="H278" i="50" s="1"/>
  <c r="M73" i="51"/>
  <c r="R73" i="51"/>
  <c r="T17" i="51"/>
  <c r="AF63" i="51"/>
  <c r="AE63" i="51"/>
  <c r="O63" i="51"/>
  <c r="U60" i="51"/>
  <c r="G60" i="51"/>
  <c r="F60" i="51"/>
  <c r="X73" i="51"/>
  <c r="W73" i="51"/>
  <c r="I73" i="51"/>
  <c r="J70" i="51"/>
  <c r="P60" i="51"/>
  <c r="W63" i="51"/>
  <c r="T63" i="51"/>
  <c r="H63" i="51"/>
  <c r="AA79" i="51"/>
  <c r="AA78" i="51" s="1"/>
  <c r="AB79" i="51"/>
  <c r="AB78" i="51" s="1"/>
  <c r="M79" i="51"/>
  <c r="M78" i="51" s="1"/>
  <c r="V256" i="50"/>
  <c r="U278" i="50"/>
  <c r="L1" i="2"/>
  <c r="G10" i="5"/>
  <c r="H57" i="5"/>
  <c r="F118" i="1" s="1"/>
  <c r="A3" i="35"/>
  <c r="A3" i="5" s="1"/>
  <c r="A3" i="7" s="1"/>
  <c r="H53" i="5"/>
  <c r="E115" i="1" s="1"/>
  <c r="L284" i="50" l="1"/>
  <c r="S284" i="50"/>
  <c r="A3" i="1"/>
  <c r="A5" i="58"/>
  <c r="A3" i="2"/>
  <c r="A5" i="65"/>
  <c r="E42" i="2"/>
  <c r="E74" i="65"/>
  <c r="F46" i="2"/>
  <c r="E78" i="65"/>
  <c r="A4" i="62"/>
  <c r="A3" i="46"/>
  <c r="F25" i="47"/>
  <c r="F22" i="48" s="1"/>
  <c r="U91" i="53"/>
  <c r="U102" i="53" s="1"/>
  <c r="C25" i="47"/>
  <c r="C22" i="48" s="1"/>
  <c r="C28" i="48"/>
  <c r="H236" i="50"/>
  <c r="I236" i="50" s="1"/>
  <c r="G25" i="47"/>
  <c r="G22" i="48" s="1"/>
  <c r="D25" i="47"/>
  <c r="D22" i="48" s="1"/>
  <c r="D38" i="58"/>
  <c r="B52" i="46" s="1"/>
  <c r="E42" i="58"/>
  <c r="B56" i="46" s="1"/>
  <c r="H237" i="50"/>
  <c r="G235" i="50"/>
  <c r="T10" i="51"/>
  <c r="M10" i="51"/>
  <c r="F10" i="51"/>
  <c r="H28" i="48"/>
  <c r="A4" i="22"/>
  <c r="A4" i="20"/>
  <c r="A4" i="17"/>
  <c r="A3" i="47"/>
  <c r="A3" i="54"/>
  <c r="A3" i="51"/>
  <c r="A4" i="21"/>
  <c r="A4" i="49"/>
  <c r="A3" i="48"/>
  <c r="A3" i="16"/>
  <c r="A3" i="53"/>
  <c r="A3" i="50"/>
  <c r="A4" i="41"/>
  <c r="W66" i="51"/>
  <c r="A3" i="39"/>
  <c r="A4" i="60"/>
  <c r="U66" i="51"/>
  <c r="F66" i="51"/>
  <c r="D28" i="48"/>
  <c r="H25" i="47"/>
  <c r="H22" i="48" s="1"/>
  <c r="AE66" i="51"/>
  <c r="K66" i="51"/>
  <c r="AC66" i="51"/>
  <c r="Y66" i="51"/>
  <c r="I66" i="51"/>
  <c r="O66" i="51"/>
  <c r="AA59" i="51"/>
  <c r="Q66" i="51"/>
  <c r="H66" i="51"/>
  <c r="M66" i="51"/>
  <c r="V66" i="51"/>
  <c r="G257" i="50"/>
  <c r="V258" i="50"/>
  <c r="W236" i="50"/>
  <c r="O259" i="50"/>
  <c r="P237" i="50"/>
  <c r="AD66" i="51"/>
  <c r="O258" i="50"/>
  <c r="P236" i="50"/>
  <c r="O235" i="50"/>
  <c r="T59" i="51"/>
  <c r="G66" i="51"/>
  <c r="AB66" i="51"/>
  <c r="O278" i="50"/>
  <c r="P256" i="50"/>
  <c r="P254" i="50"/>
  <c r="P276" i="50" s="1"/>
  <c r="X66" i="51"/>
  <c r="N257" i="50"/>
  <c r="W254" i="50"/>
  <c r="W276" i="50" s="1"/>
  <c r="P66" i="51"/>
  <c r="AF66" i="51"/>
  <c r="V278" i="50"/>
  <c r="W256" i="50"/>
  <c r="R66" i="51"/>
  <c r="J66" i="51"/>
  <c r="I256" i="50"/>
  <c r="I278" i="50" s="1"/>
  <c r="N66" i="51"/>
  <c r="V259" i="50"/>
  <c r="W237" i="50"/>
  <c r="D26" i="39"/>
  <c r="F26" i="39"/>
  <c r="H26" i="39"/>
  <c r="L26" i="39"/>
  <c r="N26" i="39"/>
  <c r="P26" i="39"/>
  <c r="Q13" i="49"/>
  <c r="J13" i="49"/>
  <c r="J10" i="49"/>
  <c r="Q10" i="49"/>
  <c r="M9" i="49"/>
  <c r="T9" i="49" s="1"/>
  <c r="P9" i="49"/>
  <c r="W9" i="49" s="1"/>
  <c r="O9" i="49"/>
  <c r="V9" i="49" s="1"/>
  <c r="N9" i="49"/>
  <c r="U9" i="49" s="1"/>
  <c r="L9" i="49"/>
  <c r="S9" i="49" s="1"/>
  <c r="K9" i="49"/>
  <c r="R9" i="49" s="1"/>
  <c r="J9" i="49"/>
  <c r="Q9" i="49" s="1"/>
  <c r="H37" i="47"/>
  <c r="E37" i="47"/>
  <c r="D37" i="47"/>
  <c r="H17" i="47"/>
  <c r="G17" i="47"/>
  <c r="F17" i="47"/>
  <c r="E17" i="47"/>
  <c r="D17" i="47"/>
  <c r="Z56" i="41"/>
  <c r="Z70" i="41" s="1"/>
  <c r="Y56" i="41"/>
  <c r="Y70" i="41" s="1"/>
  <c r="X56" i="41"/>
  <c r="X70" i="41" s="1"/>
  <c r="W56" i="41"/>
  <c r="W70" i="41" s="1"/>
  <c r="V56" i="41"/>
  <c r="V70" i="41" s="1"/>
  <c r="U56" i="41"/>
  <c r="U70" i="41" s="1"/>
  <c r="T56" i="41"/>
  <c r="T70" i="41" s="1"/>
  <c r="S56" i="41"/>
  <c r="S70" i="41" s="1"/>
  <c r="R56" i="41"/>
  <c r="R70" i="41" s="1"/>
  <c r="Q56" i="41"/>
  <c r="Q70" i="41" s="1"/>
  <c r="P56" i="41"/>
  <c r="P70" i="41" s="1"/>
  <c r="O56" i="41"/>
  <c r="O70" i="41" s="1"/>
  <c r="N56" i="41"/>
  <c r="N70" i="41" s="1"/>
  <c r="M56" i="41"/>
  <c r="M70" i="41" s="1"/>
  <c r="Z47" i="41"/>
  <c r="Z76" i="41" s="1"/>
  <c r="Y47" i="41"/>
  <c r="Y76" i="41" s="1"/>
  <c r="X47" i="41"/>
  <c r="X76" i="41" s="1"/>
  <c r="W47" i="41"/>
  <c r="W76" i="41" s="1"/>
  <c r="V47" i="41"/>
  <c r="V76" i="41" s="1"/>
  <c r="U47" i="41"/>
  <c r="U76" i="41" s="1"/>
  <c r="T47" i="41"/>
  <c r="T76" i="41" s="1"/>
  <c r="S47" i="41"/>
  <c r="S76" i="41" s="1"/>
  <c r="R47" i="41"/>
  <c r="R76" i="41" s="1"/>
  <c r="Q47" i="41"/>
  <c r="Q76" i="41" s="1"/>
  <c r="P47" i="41"/>
  <c r="P76" i="41" s="1"/>
  <c r="O47" i="41"/>
  <c r="O76" i="41" s="1"/>
  <c r="N47" i="41"/>
  <c r="N76" i="41" s="1"/>
  <c r="M47" i="41"/>
  <c r="M76" i="41" s="1"/>
  <c r="F76" i="41"/>
  <c r="Z35" i="41"/>
  <c r="Z75" i="41" s="1"/>
  <c r="Y35" i="41"/>
  <c r="Y75" i="41" s="1"/>
  <c r="X35" i="41"/>
  <c r="X75" i="41" s="1"/>
  <c r="W35" i="41"/>
  <c r="V35" i="41"/>
  <c r="V75" i="41" s="1"/>
  <c r="U35" i="41"/>
  <c r="U75" i="41" s="1"/>
  <c r="T35" i="41"/>
  <c r="T75" i="41" s="1"/>
  <c r="S35" i="41"/>
  <c r="S75" i="41" s="1"/>
  <c r="R35" i="41"/>
  <c r="Q35" i="41"/>
  <c r="P35" i="41"/>
  <c r="O35" i="41"/>
  <c r="N35" i="41"/>
  <c r="M35" i="41"/>
  <c r="M75" i="41" s="1"/>
  <c r="Z10" i="41"/>
  <c r="Z74" i="41" s="1"/>
  <c r="Y10" i="41"/>
  <c r="X10" i="41"/>
  <c r="X74" i="41" s="1"/>
  <c r="W10" i="41"/>
  <c r="W74" i="41" s="1"/>
  <c r="V10" i="41"/>
  <c r="V74" i="41" s="1"/>
  <c r="U10" i="41"/>
  <c r="U74" i="41" s="1"/>
  <c r="T10" i="41"/>
  <c r="T74" i="41" s="1"/>
  <c r="S10" i="41"/>
  <c r="S74" i="41" s="1"/>
  <c r="R10" i="41"/>
  <c r="R74" i="41" s="1"/>
  <c r="Q10" i="41"/>
  <c r="Q74" i="41" s="1"/>
  <c r="P10" i="41"/>
  <c r="P74" i="41" s="1"/>
  <c r="O10" i="41"/>
  <c r="N10" i="41"/>
  <c r="M10" i="41"/>
  <c r="AC99" i="41" l="1"/>
  <c r="F72" i="7" s="1"/>
  <c r="P286" i="50" s="1"/>
  <c r="U112" i="51" s="1"/>
  <c r="AC105" i="41"/>
  <c r="F76" i="7" s="1"/>
  <c r="O290" i="50" s="1"/>
  <c r="V118" i="51" s="1"/>
  <c r="I237" i="50"/>
  <c r="I235" i="50" s="1"/>
  <c r="H259" i="50"/>
  <c r="H258" i="50"/>
  <c r="O74" i="41"/>
  <c r="AA10" i="41"/>
  <c r="AA69" i="41"/>
  <c r="N74" i="41"/>
  <c r="N59" i="51"/>
  <c r="H235" i="50"/>
  <c r="R59" i="51"/>
  <c r="AF59" i="51"/>
  <c r="E68" i="41"/>
  <c r="AD59" i="51"/>
  <c r="K59" i="51"/>
  <c r="X59" i="51"/>
  <c r="G59" i="51"/>
  <c r="H59" i="51"/>
  <c r="J59" i="51"/>
  <c r="P59" i="51"/>
  <c r="AB59" i="51"/>
  <c r="V59" i="51"/>
  <c r="M59" i="51"/>
  <c r="Q59" i="51"/>
  <c r="Y59" i="51"/>
  <c r="AE59" i="51"/>
  <c r="F59" i="51"/>
  <c r="F109" i="51" s="1"/>
  <c r="F134" i="50" s="1"/>
  <c r="F154" i="50" s="1"/>
  <c r="W59" i="51"/>
  <c r="O59" i="51"/>
  <c r="I59" i="51"/>
  <c r="AC59" i="51"/>
  <c r="U59" i="51"/>
  <c r="L56" i="41"/>
  <c r="L70" i="41" s="1"/>
  <c r="F34" i="48"/>
  <c r="F33" i="48" s="1"/>
  <c r="S73" i="41"/>
  <c r="S77" i="41" s="1"/>
  <c r="S92" i="41" s="1"/>
  <c r="U73" i="41"/>
  <c r="U79" i="41" s="1"/>
  <c r="U94" i="41" s="1"/>
  <c r="R15" i="7" s="1"/>
  <c r="T73" i="41"/>
  <c r="T77" i="41" s="1"/>
  <c r="T92" i="41" s="1"/>
  <c r="V73" i="41"/>
  <c r="V77" i="41" s="1"/>
  <c r="V92" i="41" s="1"/>
  <c r="X73" i="41"/>
  <c r="X77" i="41" s="1"/>
  <c r="X92" i="41" s="1"/>
  <c r="Z73" i="41"/>
  <c r="Z77" i="41" s="1"/>
  <c r="Z92" i="41" s="1"/>
  <c r="L47" i="41"/>
  <c r="AA47" i="41" s="1"/>
  <c r="N81" i="41"/>
  <c r="M81" i="41"/>
  <c r="P81" i="41"/>
  <c r="R81" i="41"/>
  <c r="T81" i="41"/>
  <c r="V81" i="41"/>
  <c r="X81" i="41"/>
  <c r="Z81" i="41"/>
  <c r="Y74" i="41"/>
  <c r="W75" i="41"/>
  <c r="Y81" i="41"/>
  <c r="W81" i="41"/>
  <c r="U81" i="41"/>
  <c r="S81" i="41"/>
  <c r="Q81" i="41"/>
  <c r="O81" i="41"/>
  <c r="R75" i="41"/>
  <c r="Q75" i="41"/>
  <c r="P75" i="41"/>
  <c r="O75" i="41"/>
  <c r="N75" i="41"/>
  <c r="M74" i="41"/>
  <c r="E74" i="41"/>
  <c r="F75" i="41"/>
  <c r="H75" i="41"/>
  <c r="J75" i="41"/>
  <c r="E76" i="41"/>
  <c r="G76" i="41"/>
  <c r="I76" i="41"/>
  <c r="K76" i="41"/>
  <c r="I81" i="41"/>
  <c r="E75" i="41"/>
  <c r="I75" i="41"/>
  <c r="K75" i="41"/>
  <c r="L35" i="41"/>
  <c r="AA35" i="41" s="1"/>
  <c r="H76" i="41"/>
  <c r="J81" i="41"/>
  <c r="G75" i="41"/>
  <c r="F81" i="41"/>
  <c r="E34" i="48"/>
  <c r="E33" i="48" s="1"/>
  <c r="M26" i="39"/>
  <c r="I26" i="39"/>
  <c r="E26" i="39"/>
  <c r="O26" i="39"/>
  <c r="K26" i="39"/>
  <c r="G26" i="39"/>
  <c r="J74" i="41"/>
  <c r="G34" i="48"/>
  <c r="G33" i="48" s="1"/>
  <c r="H74" i="41"/>
  <c r="F74" i="41"/>
  <c r="G74" i="41"/>
  <c r="K74" i="41"/>
  <c r="I74" i="41"/>
  <c r="J236" i="50"/>
  <c r="I258" i="50"/>
  <c r="P278" i="50"/>
  <c r="Q256" i="50"/>
  <c r="W259" i="50"/>
  <c r="X237" i="50"/>
  <c r="P235" i="50"/>
  <c r="Q236" i="50"/>
  <c r="P258" i="50"/>
  <c r="W258" i="50"/>
  <c r="X236" i="50"/>
  <c r="J256" i="50"/>
  <c r="J278" i="50" s="1"/>
  <c r="Q254" i="50"/>
  <c r="Q276" i="50" s="1"/>
  <c r="O257" i="50"/>
  <c r="Q237" i="50"/>
  <c r="P259" i="50"/>
  <c r="X254" i="50"/>
  <c r="X276" i="50" s="1"/>
  <c r="X256" i="50"/>
  <c r="W278" i="50"/>
  <c r="H34" i="48"/>
  <c r="H33" i="48" s="1"/>
  <c r="K81" i="41"/>
  <c r="J76" i="41"/>
  <c r="H81" i="41"/>
  <c r="D34" i="48"/>
  <c r="D33" i="48" s="1"/>
  <c r="J237" i="50" l="1"/>
  <c r="K237" i="50" s="1"/>
  <c r="K259" i="50" s="1"/>
  <c r="W186" i="62"/>
  <c r="X114" i="53"/>
  <c r="AF124" i="54" s="1"/>
  <c r="F27" i="16" s="1"/>
  <c r="E54" i="47" s="1"/>
  <c r="E30" i="20" s="1"/>
  <c r="W181" i="62"/>
  <c r="X109" i="53"/>
  <c r="AE118" i="54" s="1"/>
  <c r="E22" i="16" s="1"/>
  <c r="D49" i="47" s="1"/>
  <c r="F36" i="21" s="1"/>
  <c r="AA56" i="41"/>
  <c r="AA70" i="41"/>
  <c r="F39" i="50"/>
  <c r="F64" i="50" s="1"/>
  <c r="F42" i="50"/>
  <c r="F67" i="50" s="1"/>
  <c r="G15" i="7"/>
  <c r="C15" i="7"/>
  <c r="I14" i="7"/>
  <c r="I15" i="7"/>
  <c r="E15" i="7"/>
  <c r="M73" i="41"/>
  <c r="M77" i="41" s="1"/>
  <c r="M92" i="41" s="1"/>
  <c r="Q73" i="41"/>
  <c r="Q78" i="41" s="1"/>
  <c r="Q93" i="41" s="1"/>
  <c r="N14" i="7" s="1"/>
  <c r="W73" i="41"/>
  <c r="W78" i="41" s="1"/>
  <c r="W93" i="41" s="1"/>
  <c r="M15" i="7" s="1"/>
  <c r="Z79" i="41"/>
  <c r="Z94" i="41" s="1"/>
  <c r="W15" i="7" s="1"/>
  <c r="V79" i="41"/>
  <c r="V94" i="41" s="1"/>
  <c r="S15" i="7" s="1"/>
  <c r="U78" i="41"/>
  <c r="U93" i="41" s="1"/>
  <c r="K15" i="7" s="1"/>
  <c r="U77" i="41"/>
  <c r="U92" i="41" s="1"/>
  <c r="S79" i="41"/>
  <c r="S94" i="41" s="1"/>
  <c r="W14" i="7" s="1"/>
  <c r="Z78" i="41"/>
  <c r="Z93" i="41" s="1"/>
  <c r="P15" i="7" s="1"/>
  <c r="V78" i="41"/>
  <c r="V93" i="41" s="1"/>
  <c r="L15" i="7" s="1"/>
  <c r="P73" i="41"/>
  <c r="P78" i="41" s="1"/>
  <c r="P93" i="41" s="1"/>
  <c r="M14" i="7" s="1"/>
  <c r="R73" i="41"/>
  <c r="R78" i="41" s="1"/>
  <c r="R93" i="41" s="1"/>
  <c r="O14" i="7" s="1"/>
  <c r="Y73" i="41"/>
  <c r="Y77" i="41" s="1"/>
  <c r="Y92" i="41" s="1"/>
  <c r="X79" i="41"/>
  <c r="X94" i="41" s="1"/>
  <c r="U15" i="7" s="1"/>
  <c r="T79" i="41"/>
  <c r="T94" i="41" s="1"/>
  <c r="Q15" i="7" s="1"/>
  <c r="S78" i="41"/>
  <c r="S93" i="41" s="1"/>
  <c r="P14" i="7" s="1"/>
  <c r="X78" i="41"/>
  <c r="X93" i="41" s="1"/>
  <c r="N15" i="7" s="1"/>
  <c r="T78" i="41"/>
  <c r="T93" i="41" s="1"/>
  <c r="J15" i="7" s="1"/>
  <c r="F48" i="50"/>
  <c r="F50" i="50"/>
  <c r="F75" i="50" s="1"/>
  <c r="F52" i="50"/>
  <c r="F77" i="50" s="1"/>
  <c r="F49" i="50"/>
  <c r="F74" i="50" s="1"/>
  <c r="F51" i="50"/>
  <c r="F76" i="50" s="1"/>
  <c r="F53" i="50"/>
  <c r="F139" i="50"/>
  <c r="F159" i="50" s="1"/>
  <c r="I259" i="50"/>
  <c r="I257" i="50" s="1"/>
  <c r="H257" i="50"/>
  <c r="F38" i="50"/>
  <c r="F36" i="50"/>
  <c r="F40" i="21"/>
  <c r="L22" i="22" s="1"/>
  <c r="C34" i="48"/>
  <c r="C8" i="47"/>
  <c r="L74" i="41"/>
  <c r="AA74" i="41" s="1"/>
  <c r="O73" i="41"/>
  <c r="O79" i="41" s="1"/>
  <c r="O94" i="41" s="1"/>
  <c r="S14" i="7" s="1"/>
  <c r="L81" i="41"/>
  <c r="AA81" i="41" s="1"/>
  <c r="L76" i="41"/>
  <c r="AA76" i="41" s="1"/>
  <c r="L75" i="41"/>
  <c r="AA75" i="41" s="1"/>
  <c r="N73" i="41"/>
  <c r="N79" i="41" s="1"/>
  <c r="N94" i="41" s="1"/>
  <c r="R14" i="7" s="1"/>
  <c r="R13" i="7" s="1"/>
  <c r="F136" i="50"/>
  <c r="F156" i="50" s="1"/>
  <c r="F146" i="50"/>
  <c r="F166" i="50" s="1"/>
  <c r="F135" i="50"/>
  <c r="F155" i="50" s="1"/>
  <c r="F148" i="50"/>
  <c r="F168" i="50" s="1"/>
  <c r="F144" i="50"/>
  <c r="F164" i="50" s="1"/>
  <c r="F142" i="50"/>
  <c r="F162" i="50" s="1"/>
  <c r="F137" i="50"/>
  <c r="F157" i="50" s="1"/>
  <c r="F149" i="50"/>
  <c r="F131" i="50"/>
  <c r="F132" i="50"/>
  <c r="F152" i="50" s="1"/>
  <c r="F147" i="50"/>
  <c r="F167" i="50" s="1"/>
  <c r="F145" i="50"/>
  <c r="F165" i="50" s="1"/>
  <c r="F143" i="50"/>
  <c r="F163" i="50" s="1"/>
  <c r="F141" i="50"/>
  <c r="F161" i="50" s="1"/>
  <c r="F140" i="50"/>
  <c r="F160" i="50" s="1"/>
  <c r="F138" i="50"/>
  <c r="F158" i="50" s="1"/>
  <c r="F133" i="50"/>
  <c r="F153" i="50" s="1"/>
  <c r="F57" i="50"/>
  <c r="F82" i="50" s="1"/>
  <c r="F56" i="50"/>
  <c r="F54" i="50"/>
  <c r="F79" i="50" s="1"/>
  <c r="F46" i="50"/>
  <c r="F40" i="50"/>
  <c r="F44" i="50"/>
  <c r="F45" i="50"/>
  <c r="F55" i="50"/>
  <c r="F47" i="50"/>
  <c r="F41" i="50"/>
  <c r="F35" i="50"/>
  <c r="F58" i="50"/>
  <c r="L68" i="41"/>
  <c r="J111" i="51"/>
  <c r="X134" i="50" s="1"/>
  <c r="I110" i="51"/>
  <c r="P134" i="50" s="1"/>
  <c r="H110" i="51"/>
  <c r="O134" i="50" s="1"/>
  <c r="K110" i="51"/>
  <c r="R134" i="50" s="1"/>
  <c r="F110" i="51"/>
  <c r="M134" i="50" s="1"/>
  <c r="M154" i="50" s="1"/>
  <c r="G110" i="51"/>
  <c r="N134" i="50" s="1"/>
  <c r="H109" i="51"/>
  <c r="H134" i="50" s="1"/>
  <c r="I109" i="51"/>
  <c r="I134" i="50" s="1"/>
  <c r="F111" i="51"/>
  <c r="T134" i="50" s="1"/>
  <c r="T154" i="50" s="1"/>
  <c r="G109" i="51"/>
  <c r="G134" i="50" s="1"/>
  <c r="G154" i="50" s="1"/>
  <c r="K111" i="51"/>
  <c r="Y134" i="50" s="1"/>
  <c r="J110" i="51"/>
  <c r="Q134" i="50" s="1"/>
  <c r="J109" i="51"/>
  <c r="J134" i="50" s="1"/>
  <c r="H111" i="51"/>
  <c r="V134" i="50" s="1"/>
  <c r="G111" i="51"/>
  <c r="U134" i="50" s="1"/>
  <c r="K109" i="51"/>
  <c r="K134" i="50" s="1"/>
  <c r="I111" i="51"/>
  <c r="W134" i="50" s="1"/>
  <c r="I73" i="41"/>
  <c r="I77" i="41" s="1"/>
  <c r="G73" i="41"/>
  <c r="J73" i="41"/>
  <c r="J79" i="41" s="1"/>
  <c r="K73" i="41"/>
  <c r="K78" i="41" s="1"/>
  <c r="F73" i="41"/>
  <c r="F79" i="41" s="1"/>
  <c r="T114" i="50" s="1"/>
  <c r="H73" i="41"/>
  <c r="H79" i="41" s="1"/>
  <c r="E73" i="41"/>
  <c r="E78" i="41" s="1"/>
  <c r="E93" i="41" s="1"/>
  <c r="Y254" i="50"/>
  <c r="Y276" i="50" s="1"/>
  <c r="Q259" i="50"/>
  <c r="R237" i="50"/>
  <c r="R259" i="50" s="1"/>
  <c r="Q258" i="50"/>
  <c r="R236" i="50"/>
  <c r="Q235" i="50"/>
  <c r="J259" i="50"/>
  <c r="P257" i="50"/>
  <c r="J258" i="50"/>
  <c r="K236" i="50"/>
  <c r="R254" i="50"/>
  <c r="R276" i="50" s="1"/>
  <c r="X259" i="50"/>
  <c r="Y237" i="50"/>
  <c r="Y259" i="50" s="1"/>
  <c r="X278" i="50"/>
  <c r="Y256" i="50"/>
  <c r="Y278" i="50" s="1"/>
  <c r="K256" i="50"/>
  <c r="K278" i="50" s="1"/>
  <c r="X258" i="50"/>
  <c r="Y236" i="50"/>
  <c r="Q278" i="50"/>
  <c r="R256" i="50"/>
  <c r="R278" i="50" s="1"/>
  <c r="K17" i="22" l="1"/>
  <c r="E29" i="17"/>
  <c r="Q29" i="49"/>
  <c r="E34" i="17"/>
  <c r="E55" i="48"/>
  <c r="J235" i="50"/>
  <c r="D50" i="48"/>
  <c r="P24" i="49"/>
  <c r="E25" i="20"/>
  <c r="F151" i="50"/>
  <c r="F130" i="50"/>
  <c r="W13" i="7"/>
  <c r="H154" i="50"/>
  <c r="I154" i="50" s="1"/>
  <c r="J154" i="50" s="1"/>
  <c r="K154" i="50" s="1"/>
  <c r="U154" i="50"/>
  <c r="V154" i="50" s="1"/>
  <c r="W154" i="50" s="1"/>
  <c r="X154" i="50" s="1"/>
  <c r="Y154" i="50" s="1"/>
  <c r="T174" i="50"/>
  <c r="N154" i="50"/>
  <c r="O154" i="50" s="1"/>
  <c r="P154" i="50" s="1"/>
  <c r="Q154" i="50" s="1"/>
  <c r="R154" i="50" s="1"/>
  <c r="P13" i="7"/>
  <c r="T14" i="50"/>
  <c r="T17" i="50"/>
  <c r="K39" i="50"/>
  <c r="K42" i="50"/>
  <c r="V39" i="50"/>
  <c r="V42" i="50"/>
  <c r="Q39" i="50"/>
  <c r="Q42" i="50"/>
  <c r="G39" i="50"/>
  <c r="G64" i="50" s="1"/>
  <c r="G42" i="50"/>
  <c r="G67" i="50" s="1"/>
  <c r="I39" i="50"/>
  <c r="I42" i="50"/>
  <c r="N39" i="50"/>
  <c r="N42" i="50"/>
  <c r="R39" i="50"/>
  <c r="R42" i="50"/>
  <c r="O39" i="50"/>
  <c r="O42" i="50"/>
  <c r="X39" i="50"/>
  <c r="X42" i="50"/>
  <c r="W39" i="50"/>
  <c r="W42" i="50"/>
  <c r="U39" i="50"/>
  <c r="U42" i="50"/>
  <c r="J39" i="50"/>
  <c r="J42" i="50"/>
  <c r="Y39" i="50"/>
  <c r="Y42" i="50"/>
  <c r="T39" i="50"/>
  <c r="T64" i="50" s="1"/>
  <c r="T42" i="50"/>
  <c r="T67" i="50" s="1"/>
  <c r="H39" i="50"/>
  <c r="H42" i="50"/>
  <c r="M39" i="50"/>
  <c r="M64" i="50" s="1"/>
  <c r="N64" i="50" s="1"/>
  <c r="M42" i="50"/>
  <c r="M67" i="50" s="1"/>
  <c r="P39" i="50"/>
  <c r="P42" i="50"/>
  <c r="S13" i="7"/>
  <c r="N13" i="7"/>
  <c r="C14" i="7"/>
  <c r="H15" i="7"/>
  <c r="M13" i="7"/>
  <c r="N78" i="41"/>
  <c r="N93" i="41" s="1"/>
  <c r="K14" i="7" s="1"/>
  <c r="K13" i="7" s="1"/>
  <c r="O78" i="41"/>
  <c r="O93" i="41" s="1"/>
  <c r="L14" i="7" s="1"/>
  <c r="L13" i="7" s="1"/>
  <c r="V91" i="41"/>
  <c r="Z91" i="41"/>
  <c r="S91" i="41"/>
  <c r="T91" i="41"/>
  <c r="X91" i="41"/>
  <c r="N77" i="41"/>
  <c r="N92" i="41" s="1"/>
  <c r="Y79" i="41"/>
  <c r="Y94" i="41" s="1"/>
  <c r="V15" i="7" s="1"/>
  <c r="Y78" i="41"/>
  <c r="Y93" i="41" s="1"/>
  <c r="O15" i="7" s="1"/>
  <c r="O13" i="7" s="1"/>
  <c r="R77" i="41"/>
  <c r="R92" i="41" s="1"/>
  <c r="R79" i="41"/>
  <c r="R94" i="41" s="1"/>
  <c r="V14" i="7" s="1"/>
  <c r="P77" i="41"/>
  <c r="P92" i="41" s="1"/>
  <c r="P79" i="41"/>
  <c r="P94" i="41" s="1"/>
  <c r="T14" i="7" s="1"/>
  <c r="E77" i="41"/>
  <c r="E82" i="41" s="1"/>
  <c r="E87" i="41" s="1"/>
  <c r="E79" i="41"/>
  <c r="D15" i="7"/>
  <c r="U91" i="41"/>
  <c r="O77" i="41"/>
  <c r="O92" i="41" s="1"/>
  <c r="W77" i="41"/>
  <c r="W92" i="41" s="1"/>
  <c r="W79" i="41"/>
  <c r="W94" i="41" s="1"/>
  <c r="T15" i="7" s="1"/>
  <c r="Q79" i="41"/>
  <c r="Q94" i="41" s="1"/>
  <c r="U14" i="7" s="1"/>
  <c r="U13" i="7" s="1"/>
  <c r="Q77" i="41"/>
  <c r="Q92" i="41" s="1"/>
  <c r="M79" i="41"/>
  <c r="M94" i="41" s="1"/>
  <c r="Q14" i="7" s="1"/>
  <c r="M78" i="41"/>
  <c r="M93" i="41" s="1"/>
  <c r="J14" i="7" s="1"/>
  <c r="I13" i="7"/>
  <c r="Q47" i="50"/>
  <c r="Q49" i="50"/>
  <c r="Q51" i="50"/>
  <c r="Q53" i="50"/>
  <c r="Q48" i="50"/>
  <c r="Q50" i="50"/>
  <c r="Q52" i="50"/>
  <c r="Q139" i="50"/>
  <c r="I51" i="50"/>
  <c r="I50" i="50"/>
  <c r="I49" i="50"/>
  <c r="I53" i="50"/>
  <c r="I48" i="50"/>
  <c r="I52" i="50"/>
  <c r="I139" i="50"/>
  <c r="R49" i="50"/>
  <c r="R53" i="50"/>
  <c r="R48" i="50"/>
  <c r="R52" i="50"/>
  <c r="R47" i="50"/>
  <c r="R51" i="50"/>
  <c r="R50" i="50"/>
  <c r="R139" i="50"/>
  <c r="X48" i="50"/>
  <c r="X50" i="50"/>
  <c r="X52" i="50"/>
  <c r="X47" i="50"/>
  <c r="X49" i="50"/>
  <c r="X51" i="50"/>
  <c r="X53" i="50"/>
  <c r="X139" i="50"/>
  <c r="T28" i="50"/>
  <c r="T26" i="50"/>
  <c r="T25" i="50"/>
  <c r="T27" i="50"/>
  <c r="T119" i="50"/>
  <c r="V47" i="50"/>
  <c r="V49" i="50"/>
  <c r="V51" i="50"/>
  <c r="V53" i="50"/>
  <c r="V48" i="50"/>
  <c r="V50" i="50"/>
  <c r="V52" i="50"/>
  <c r="V139" i="50"/>
  <c r="G50" i="50"/>
  <c r="G75" i="50" s="1"/>
  <c r="G49" i="50"/>
  <c r="G74" i="50" s="1"/>
  <c r="G53" i="50"/>
  <c r="G48" i="50"/>
  <c r="G52" i="50"/>
  <c r="G51" i="50"/>
  <c r="G76" i="50" s="1"/>
  <c r="G139" i="50"/>
  <c r="G159" i="50" s="1"/>
  <c r="N47" i="50"/>
  <c r="N51" i="50"/>
  <c r="N50" i="50"/>
  <c r="N49" i="50"/>
  <c r="N53" i="50"/>
  <c r="N48" i="50"/>
  <c r="N52" i="50"/>
  <c r="N139" i="50"/>
  <c r="O48" i="50"/>
  <c r="O50" i="50"/>
  <c r="O52" i="50"/>
  <c r="O47" i="50"/>
  <c r="O49" i="50"/>
  <c r="O51" i="50"/>
  <c r="O53" i="50"/>
  <c r="O139" i="50"/>
  <c r="W49" i="50"/>
  <c r="W53" i="50"/>
  <c r="W48" i="50"/>
  <c r="W52" i="50"/>
  <c r="W47" i="50"/>
  <c r="W51" i="50"/>
  <c r="W50" i="50"/>
  <c r="W139" i="50"/>
  <c r="J48" i="50"/>
  <c r="J50" i="50"/>
  <c r="J52" i="50"/>
  <c r="J49" i="50"/>
  <c r="J51" i="50"/>
  <c r="J53" i="50"/>
  <c r="J139" i="50"/>
  <c r="T48" i="50"/>
  <c r="T50" i="50"/>
  <c r="T75" i="50" s="1"/>
  <c r="T52" i="50"/>
  <c r="T77" i="50" s="1"/>
  <c r="T47" i="50"/>
  <c r="T49" i="50"/>
  <c r="T51" i="50"/>
  <c r="T76" i="50" s="1"/>
  <c r="T53" i="50"/>
  <c r="T78" i="50" s="1"/>
  <c r="T139" i="50"/>
  <c r="T159" i="50" s="1"/>
  <c r="M47" i="50"/>
  <c r="M49" i="50"/>
  <c r="M74" i="50" s="1"/>
  <c r="M51" i="50"/>
  <c r="M76" i="50" s="1"/>
  <c r="N76" i="50" s="1"/>
  <c r="O76" i="50" s="1"/>
  <c r="M53" i="50"/>
  <c r="M78" i="50" s="1"/>
  <c r="M48" i="50"/>
  <c r="M50" i="50"/>
  <c r="M75" i="50" s="1"/>
  <c r="M52" i="50"/>
  <c r="M77" i="50" s="1"/>
  <c r="M139" i="50"/>
  <c r="M159" i="50" s="1"/>
  <c r="P48" i="50"/>
  <c r="P52" i="50"/>
  <c r="P47" i="50"/>
  <c r="P51" i="50"/>
  <c r="P50" i="50"/>
  <c r="P49" i="50"/>
  <c r="P53" i="50"/>
  <c r="P139" i="50"/>
  <c r="U48" i="50"/>
  <c r="U52" i="50"/>
  <c r="U47" i="50"/>
  <c r="U51" i="50"/>
  <c r="U50" i="50"/>
  <c r="U49" i="50"/>
  <c r="U53" i="50"/>
  <c r="U139" i="50"/>
  <c r="H49" i="50"/>
  <c r="H51" i="50"/>
  <c r="H53" i="50"/>
  <c r="H48" i="50"/>
  <c r="H50" i="50"/>
  <c r="H52" i="50"/>
  <c r="H139" i="50"/>
  <c r="K48" i="50"/>
  <c r="K52" i="50"/>
  <c r="K51" i="50"/>
  <c r="K50" i="50"/>
  <c r="K49" i="50"/>
  <c r="K53" i="50"/>
  <c r="K139" i="50"/>
  <c r="Y50" i="50"/>
  <c r="Y49" i="50"/>
  <c r="Y48" i="50"/>
  <c r="Y52" i="50"/>
  <c r="Y47" i="50"/>
  <c r="Y51" i="50"/>
  <c r="Y53" i="50"/>
  <c r="Y139" i="50"/>
  <c r="C7" i="47"/>
  <c r="M83" i="41"/>
  <c r="M88" i="41" s="1"/>
  <c r="T83" i="41"/>
  <c r="Q82" i="41"/>
  <c r="X82" i="41"/>
  <c r="I92" i="41"/>
  <c r="R84" i="41"/>
  <c r="Y84" i="41"/>
  <c r="J94" i="41"/>
  <c r="V9" i="7" s="1"/>
  <c r="N84" i="41"/>
  <c r="U84" i="41"/>
  <c r="F94" i="41"/>
  <c r="R9" i="7" s="1"/>
  <c r="S83" i="41"/>
  <c r="Z83" i="41"/>
  <c r="Z88" i="41" s="1"/>
  <c r="K93" i="41"/>
  <c r="P9" i="7" s="1"/>
  <c r="W84" i="41"/>
  <c r="W89" i="41" s="1"/>
  <c r="H94" i="41"/>
  <c r="T9" i="7" s="1"/>
  <c r="P84" i="41"/>
  <c r="P89" i="41" s="1"/>
  <c r="C33" i="48"/>
  <c r="G79" i="41"/>
  <c r="L73" i="41"/>
  <c r="AA73" i="41" s="1"/>
  <c r="T116" i="50"/>
  <c r="T124" i="50"/>
  <c r="T115" i="50"/>
  <c r="U115" i="50" s="1"/>
  <c r="V115" i="50" s="1"/>
  <c r="T127" i="50"/>
  <c r="T128" i="50"/>
  <c r="T111" i="50"/>
  <c r="T120" i="50"/>
  <c r="U120" i="50" s="1"/>
  <c r="V120" i="50" s="1"/>
  <c r="T112" i="50"/>
  <c r="T126" i="50"/>
  <c r="T121" i="50"/>
  <c r="T123" i="50"/>
  <c r="U123" i="50" s="1"/>
  <c r="V123" i="50" s="1"/>
  <c r="T117" i="50"/>
  <c r="T125" i="50"/>
  <c r="T122" i="50"/>
  <c r="T118" i="50"/>
  <c r="U118" i="50" s="1"/>
  <c r="V118" i="50" s="1"/>
  <c r="T113" i="50"/>
  <c r="W131" i="50"/>
  <c r="W136" i="50"/>
  <c r="W145" i="50"/>
  <c r="W135" i="50"/>
  <c r="W146" i="50"/>
  <c r="W142" i="50"/>
  <c r="W137" i="50"/>
  <c r="W149" i="50"/>
  <c r="W147" i="50"/>
  <c r="W143" i="50"/>
  <c r="W141" i="50"/>
  <c r="W132" i="50"/>
  <c r="W148" i="50"/>
  <c r="W144" i="50"/>
  <c r="W140" i="50"/>
  <c r="W133" i="50"/>
  <c r="W138" i="50"/>
  <c r="U149" i="50"/>
  <c r="U132" i="50"/>
  <c r="U148" i="50"/>
  <c r="U144" i="50"/>
  <c r="U131" i="50"/>
  <c r="U145" i="50"/>
  <c r="U140" i="50"/>
  <c r="U136" i="50"/>
  <c r="U146" i="50"/>
  <c r="U142" i="50"/>
  <c r="U147" i="50"/>
  <c r="U143" i="50"/>
  <c r="U141" i="50"/>
  <c r="U135" i="50"/>
  <c r="U137" i="50"/>
  <c r="U133" i="50"/>
  <c r="U138" i="50"/>
  <c r="J149" i="50"/>
  <c r="J136" i="50"/>
  <c r="J141" i="50"/>
  <c r="J140" i="50"/>
  <c r="J145" i="50"/>
  <c r="J131" i="50"/>
  <c r="J135" i="50"/>
  <c r="J132" i="50"/>
  <c r="J147" i="50"/>
  <c r="J143" i="50"/>
  <c r="J142" i="50"/>
  <c r="J137" i="50"/>
  <c r="J148" i="50"/>
  <c r="J146" i="50"/>
  <c r="J144" i="50"/>
  <c r="J133" i="50"/>
  <c r="J138" i="50"/>
  <c r="Y147" i="50"/>
  <c r="Y143" i="50"/>
  <c r="Y141" i="50"/>
  <c r="Y135" i="50"/>
  <c r="Y137" i="50"/>
  <c r="Y149" i="50"/>
  <c r="Y132" i="50"/>
  <c r="Y148" i="50"/>
  <c r="Y144" i="50"/>
  <c r="Y136" i="50"/>
  <c r="Y145" i="50"/>
  <c r="Y140" i="50"/>
  <c r="Y131" i="50"/>
  <c r="Y146" i="50"/>
  <c r="Y142" i="50"/>
  <c r="Y133" i="50"/>
  <c r="Y138" i="50"/>
  <c r="T135" i="50"/>
  <c r="T155" i="50" s="1"/>
  <c r="T132" i="50"/>
  <c r="T152" i="50" s="1"/>
  <c r="T137" i="50"/>
  <c r="T157" i="50" s="1"/>
  <c r="T149" i="50"/>
  <c r="T169" i="50" s="1"/>
  <c r="T136" i="50"/>
  <c r="T156" i="50" s="1"/>
  <c r="T141" i="50"/>
  <c r="T161" i="50" s="1"/>
  <c r="T148" i="50"/>
  <c r="T168" i="50" s="1"/>
  <c r="T144" i="50"/>
  <c r="T164" i="50" s="1"/>
  <c r="T131" i="50"/>
  <c r="T151" i="50" s="1"/>
  <c r="T147" i="50"/>
  <c r="T167" i="50" s="1"/>
  <c r="T145" i="50"/>
  <c r="T165" i="50" s="1"/>
  <c r="T143" i="50"/>
  <c r="T163" i="50" s="1"/>
  <c r="T146" i="50"/>
  <c r="T166" i="50" s="1"/>
  <c r="T142" i="50"/>
  <c r="T162" i="50" s="1"/>
  <c r="T140" i="50"/>
  <c r="T160" i="50" s="1"/>
  <c r="T133" i="50"/>
  <c r="T153" i="50" s="1"/>
  <c r="T138" i="50"/>
  <c r="T158" i="50" s="1"/>
  <c r="H131" i="50"/>
  <c r="H145" i="50"/>
  <c r="H149" i="50"/>
  <c r="H136" i="50"/>
  <c r="H132" i="50"/>
  <c r="H147" i="50"/>
  <c r="H143" i="50"/>
  <c r="H146" i="50"/>
  <c r="H140" i="50"/>
  <c r="H148" i="50"/>
  <c r="H144" i="50"/>
  <c r="H135" i="50"/>
  <c r="H141" i="50"/>
  <c r="H142" i="50"/>
  <c r="H137" i="50"/>
  <c r="H138" i="50"/>
  <c r="H133" i="50"/>
  <c r="M149" i="50"/>
  <c r="M169" i="50" s="1"/>
  <c r="M136" i="50"/>
  <c r="M156" i="50" s="1"/>
  <c r="M147" i="50"/>
  <c r="M167" i="50" s="1"/>
  <c r="M143" i="50"/>
  <c r="M163" i="50" s="1"/>
  <c r="M137" i="50"/>
  <c r="M157" i="50" s="1"/>
  <c r="M145" i="50"/>
  <c r="M165" i="50" s="1"/>
  <c r="M140" i="50"/>
  <c r="M160" i="50" s="1"/>
  <c r="M131" i="50"/>
  <c r="M132" i="50"/>
  <c r="M152" i="50" s="1"/>
  <c r="M141" i="50"/>
  <c r="M161" i="50" s="1"/>
  <c r="M135" i="50"/>
  <c r="M155" i="50" s="1"/>
  <c r="M148" i="50"/>
  <c r="M168" i="50" s="1"/>
  <c r="M146" i="50"/>
  <c r="M166" i="50" s="1"/>
  <c r="M144" i="50"/>
  <c r="M164" i="50" s="1"/>
  <c r="M142" i="50"/>
  <c r="M162" i="50" s="1"/>
  <c r="M133" i="50"/>
  <c r="M153" i="50" s="1"/>
  <c r="M138" i="50"/>
  <c r="M158" i="50" s="1"/>
  <c r="P149" i="50"/>
  <c r="P132" i="50"/>
  <c r="P147" i="50"/>
  <c r="P143" i="50"/>
  <c r="P135" i="50"/>
  <c r="P148" i="50"/>
  <c r="P144" i="50"/>
  <c r="P137" i="50"/>
  <c r="P131" i="50"/>
  <c r="P145" i="50"/>
  <c r="P141" i="50"/>
  <c r="P146" i="50"/>
  <c r="P140" i="50"/>
  <c r="P136" i="50"/>
  <c r="P142" i="50"/>
  <c r="P133" i="50"/>
  <c r="P138" i="50"/>
  <c r="K135" i="50"/>
  <c r="K145" i="50"/>
  <c r="K142" i="50"/>
  <c r="K137" i="50"/>
  <c r="K131" i="50"/>
  <c r="K132" i="50"/>
  <c r="K141" i="50"/>
  <c r="K148" i="50"/>
  <c r="K144" i="50"/>
  <c r="K149" i="50"/>
  <c r="K147" i="50"/>
  <c r="K143" i="50"/>
  <c r="K140" i="50"/>
  <c r="K136" i="50"/>
  <c r="K146" i="50"/>
  <c r="K138" i="50"/>
  <c r="K133" i="50"/>
  <c r="V131" i="50"/>
  <c r="V147" i="50"/>
  <c r="V143" i="50"/>
  <c r="V146" i="50"/>
  <c r="V142" i="50"/>
  <c r="V145" i="50"/>
  <c r="V141" i="50"/>
  <c r="V140" i="50"/>
  <c r="V132" i="50"/>
  <c r="V149" i="50"/>
  <c r="V136" i="50"/>
  <c r="V135" i="50"/>
  <c r="V148" i="50"/>
  <c r="V144" i="50"/>
  <c r="V137" i="50"/>
  <c r="V133" i="50"/>
  <c r="V138" i="50"/>
  <c r="Q141" i="50"/>
  <c r="Q135" i="50"/>
  <c r="Q131" i="50"/>
  <c r="Q132" i="50"/>
  <c r="Q146" i="50"/>
  <c r="Q149" i="50"/>
  <c r="Q136" i="50"/>
  <c r="Q148" i="50"/>
  <c r="Q144" i="50"/>
  <c r="Q142" i="50"/>
  <c r="Q140" i="50"/>
  <c r="Q147" i="50"/>
  <c r="Q145" i="50"/>
  <c r="Q143" i="50"/>
  <c r="Q137" i="50"/>
  <c r="Q133" i="50"/>
  <c r="Q138" i="50"/>
  <c r="G131" i="50"/>
  <c r="G132" i="50"/>
  <c r="G152" i="50" s="1"/>
  <c r="G148" i="50"/>
  <c r="G168" i="50" s="1"/>
  <c r="G144" i="50"/>
  <c r="G164" i="50" s="1"/>
  <c r="G136" i="50"/>
  <c r="G156" i="50" s="1"/>
  <c r="G147" i="50"/>
  <c r="G167" i="50" s="1"/>
  <c r="G143" i="50"/>
  <c r="G163" i="50" s="1"/>
  <c r="G140" i="50"/>
  <c r="G160" i="50" s="1"/>
  <c r="G141" i="50"/>
  <c r="G161" i="50" s="1"/>
  <c r="G146" i="50"/>
  <c r="G166" i="50" s="1"/>
  <c r="G149" i="50"/>
  <c r="G135" i="50"/>
  <c r="G155" i="50" s="1"/>
  <c r="G145" i="50"/>
  <c r="G165" i="50" s="1"/>
  <c r="G142" i="50"/>
  <c r="G162" i="50" s="1"/>
  <c r="G137" i="50"/>
  <c r="G157" i="50" s="1"/>
  <c r="G133" i="50"/>
  <c r="G153" i="50" s="1"/>
  <c r="G138" i="50"/>
  <c r="G158" i="50" s="1"/>
  <c r="I135" i="50"/>
  <c r="I147" i="50"/>
  <c r="I143" i="50"/>
  <c r="I141" i="50"/>
  <c r="I146" i="50"/>
  <c r="I142" i="50"/>
  <c r="I137" i="50"/>
  <c r="I136" i="50"/>
  <c r="I149" i="50"/>
  <c r="I132" i="50"/>
  <c r="I145" i="50"/>
  <c r="I148" i="50"/>
  <c r="I144" i="50"/>
  <c r="I140" i="50"/>
  <c r="I131" i="50"/>
  <c r="I138" i="50"/>
  <c r="I133" i="50"/>
  <c r="N136" i="50"/>
  <c r="N145" i="50"/>
  <c r="N142" i="50"/>
  <c r="N149" i="50"/>
  <c r="N132" i="50"/>
  <c r="N141" i="50"/>
  <c r="N148" i="50"/>
  <c r="N144" i="50"/>
  <c r="N137" i="50"/>
  <c r="N147" i="50"/>
  <c r="N143" i="50"/>
  <c r="N135" i="50"/>
  <c r="N131" i="50"/>
  <c r="N146" i="50"/>
  <c r="N140" i="50"/>
  <c r="N133" i="50"/>
  <c r="N138" i="50"/>
  <c r="R136" i="50"/>
  <c r="R146" i="50"/>
  <c r="R142" i="50"/>
  <c r="R140" i="50"/>
  <c r="R131" i="50"/>
  <c r="R145" i="50"/>
  <c r="R135" i="50"/>
  <c r="R132" i="50"/>
  <c r="R141" i="50"/>
  <c r="R148" i="50"/>
  <c r="R144" i="50"/>
  <c r="R137" i="50"/>
  <c r="R149" i="50"/>
  <c r="R147" i="50"/>
  <c r="R143" i="50"/>
  <c r="R138" i="50"/>
  <c r="R133" i="50"/>
  <c r="O131" i="50"/>
  <c r="O149" i="50"/>
  <c r="O146" i="50"/>
  <c r="O147" i="50"/>
  <c r="O143" i="50"/>
  <c r="O141" i="50"/>
  <c r="O148" i="50"/>
  <c r="O144" i="50"/>
  <c r="O142" i="50"/>
  <c r="O140" i="50"/>
  <c r="O145" i="50"/>
  <c r="O136" i="50"/>
  <c r="O132" i="50"/>
  <c r="O135" i="50"/>
  <c r="O137" i="50"/>
  <c r="O138" i="50"/>
  <c r="O133" i="50"/>
  <c r="X140" i="50"/>
  <c r="X149" i="50"/>
  <c r="X147" i="50"/>
  <c r="X143" i="50"/>
  <c r="X141" i="50"/>
  <c r="X148" i="50"/>
  <c r="X146" i="50"/>
  <c r="X144" i="50"/>
  <c r="X142" i="50"/>
  <c r="X131" i="50"/>
  <c r="X136" i="50"/>
  <c r="X145" i="50"/>
  <c r="X135" i="50"/>
  <c r="X137" i="50"/>
  <c r="X132" i="50"/>
  <c r="X133" i="50"/>
  <c r="X138" i="50"/>
  <c r="F112" i="51"/>
  <c r="U57" i="50"/>
  <c r="U56" i="50"/>
  <c r="U58" i="50"/>
  <c r="U45" i="50"/>
  <c r="U38" i="50"/>
  <c r="U41" i="50"/>
  <c r="U40" i="50"/>
  <c r="U44" i="50"/>
  <c r="U36" i="50"/>
  <c r="U54" i="50"/>
  <c r="U46" i="50"/>
  <c r="U35" i="50"/>
  <c r="U55" i="50"/>
  <c r="Y57" i="50"/>
  <c r="Y56" i="50"/>
  <c r="Y44" i="50"/>
  <c r="Y36" i="50"/>
  <c r="Y55" i="50"/>
  <c r="Y41" i="50"/>
  <c r="Y54" i="50"/>
  <c r="Y58" i="50"/>
  <c r="Y45" i="50"/>
  <c r="Y38" i="50"/>
  <c r="Y40" i="50"/>
  <c r="Y46" i="50"/>
  <c r="Y35" i="50"/>
  <c r="H56" i="50"/>
  <c r="H57" i="50"/>
  <c r="H112" i="51"/>
  <c r="H58" i="50"/>
  <c r="H44" i="50"/>
  <c r="H36" i="50"/>
  <c r="H40" i="50"/>
  <c r="H46" i="50"/>
  <c r="H55" i="50"/>
  <c r="H47" i="50"/>
  <c r="H41" i="50"/>
  <c r="H35" i="50"/>
  <c r="H45" i="50"/>
  <c r="H38" i="50"/>
  <c r="H54" i="50"/>
  <c r="K57" i="50"/>
  <c r="K56" i="50"/>
  <c r="K112" i="51"/>
  <c r="K40" i="50"/>
  <c r="K54" i="50"/>
  <c r="K46" i="50"/>
  <c r="K58" i="50"/>
  <c r="K45" i="50"/>
  <c r="K38" i="50"/>
  <c r="K55" i="50"/>
  <c r="K47" i="50"/>
  <c r="K41" i="50"/>
  <c r="K35" i="50"/>
  <c r="K44" i="50"/>
  <c r="K36" i="50"/>
  <c r="Q57" i="50"/>
  <c r="Q56" i="50"/>
  <c r="Q44" i="50"/>
  <c r="Q40" i="50"/>
  <c r="Q54" i="50"/>
  <c r="Q55" i="50"/>
  <c r="Q41" i="50"/>
  <c r="Q35" i="50"/>
  <c r="Q58" i="50"/>
  <c r="Q45" i="50"/>
  <c r="Q38" i="50"/>
  <c r="Q36" i="50"/>
  <c r="Q46" i="50"/>
  <c r="I56" i="50"/>
  <c r="I57" i="50"/>
  <c r="I112" i="51"/>
  <c r="I44" i="50"/>
  <c r="I36" i="50"/>
  <c r="I58" i="50"/>
  <c r="I46" i="50"/>
  <c r="I55" i="50"/>
  <c r="I47" i="50"/>
  <c r="I41" i="50"/>
  <c r="I35" i="50"/>
  <c r="I54" i="50"/>
  <c r="I40" i="50"/>
  <c r="I45" i="50"/>
  <c r="I38" i="50"/>
  <c r="R57" i="50"/>
  <c r="R56" i="50"/>
  <c r="R58" i="50"/>
  <c r="R45" i="50"/>
  <c r="R38" i="50"/>
  <c r="R55" i="50"/>
  <c r="R44" i="50"/>
  <c r="R36" i="50"/>
  <c r="R35" i="50"/>
  <c r="R40" i="50"/>
  <c r="R54" i="50"/>
  <c r="R46" i="50"/>
  <c r="R41" i="50"/>
  <c r="X56" i="50"/>
  <c r="X57" i="50"/>
  <c r="X55" i="50"/>
  <c r="X41" i="50"/>
  <c r="X36" i="50"/>
  <c r="X35" i="50"/>
  <c r="X58" i="50"/>
  <c r="X54" i="50"/>
  <c r="X46" i="50"/>
  <c r="X44" i="50"/>
  <c r="X40" i="50"/>
  <c r="X45" i="50"/>
  <c r="X38" i="50"/>
  <c r="V57" i="50"/>
  <c r="V56" i="50"/>
  <c r="V40" i="50"/>
  <c r="V54" i="50"/>
  <c r="V46" i="50"/>
  <c r="V36" i="50"/>
  <c r="V45" i="50"/>
  <c r="V38" i="50"/>
  <c r="V58" i="50"/>
  <c r="V55" i="50"/>
  <c r="V41" i="50"/>
  <c r="V35" i="50"/>
  <c r="V44" i="50"/>
  <c r="G57" i="50"/>
  <c r="G56" i="50"/>
  <c r="G112" i="51"/>
  <c r="G55" i="50"/>
  <c r="G47" i="50"/>
  <c r="G41" i="50"/>
  <c r="G35" i="50"/>
  <c r="G58" i="50"/>
  <c r="G45" i="50"/>
  <c r="G54" i="50"/>
  <c r="G46" i="50"/>
  <c r="G38" i="50"/>
  <c r="G40" i="50"/>
  <c r="G44" i="50"/>
  <c r="G36" i="50"/>
  <c r="N56" i="50"/>
  <c r="N57" i="50"/>
  <c r="N54" i="50"/>
  <c r="N46" i="50"/>
  <c r="N58" i="50"/>
  <c r="N45" i="50"/>
  <c r="N38" i="50"/>
  <c r="N40" i="50"/>
  <c r="N44" i="50"/>
  <c r="N55" i="50"/>
  <c r="N41" i="50"/>
  <c r="N36" i="50"/>
  <c r="N35" i="50"/>
  <c r="O56" i="50"/>
  <c r="O57" i="50"/>
  <c r="O55" i="50"/>
  <c r="O41" i="50"/>
  <c r="O35" i="50"/>
  <c r="O40" i="50"/>
  <c r="O54" i="50"/>
  <c r="O46" i="50"/>
  <c r="O45" i="50"/>
  <c r="O58" i="50"/>
  <c r="O44" i="50"/>
  <c r="O36" i="50"/>
  <c r="O38" i="50"/>
  <c r="W56" i="50"/>
  <c r="W57" i="50"/>
  <c r="W54" i="50"/>
  <c r="W46" i="50"/>
  <c r="W35" i="50"/>
  <c r="W40" i="50"/>
  <c r="W36" i="50"/>
  <c r="W58" i="50"/>
  <c r="W45" i="50"/>
  <c r="W38" i="50"/>
  <c r="W55" i="50"/>
  <c r="W41" i="50"/>
  <c r="W44" i="50"/>
  <c r="J56" i="50"/>
  <c r="J57" i="50"/>
  <c r="J112" i="51"/>
  <c r="J45" i="50"/>
  <c r="J38" i="50"/>
  <c r="J55" i="50"/>
  <c r="J41" i="50"/>
  <c r="J44" i="50"/>
  <c r="J36" i="50"/>
  <c r="J40" i="50"/>
  <c r="J35" i="50"/>
  <c r="J58" i="50"/>
  <c r="J54" i="50"/>
  <c r="J46" i="50"/>
  <c r="J47" i="50"/>
  <c r="T56" i="50"/>
  <c r="T57" i="50"/>
  <c r="T82" i="50" s="1"/>
  <c r="T44" i="50"/>
  <c r="T36" i="50"/>
  <c r="T40" i="50"/>
  <c r="T55" i="50"/>
  <c r="T41" i="50"/>
  <c r="T58" i="50"/>
  <c r="T54" i="50"/>
  <c r="T46" i="50"/>
  <c r="T45" i="50"/>
  <c r="T38" i="50"/>
  <c r="T35" i="50"/>
  <c r="M57" i="50"/>
  <c r="M82" i="50" s="1"/>
  <c r="M56" i="50"/>
  <c r="M45" i="50"/>
  <c r="M38" i="50"/>
  <c r="M44" i="50"/>
  <c r="M36" i="50"/>
  <c r="M35" i="50"/>
  <c r="M41" i="50"/>
  <c r="M54" i="50"/>
  <c r="M46" i="50"/>
  <c r="M40" i="50"/>
  <c r="M55" i="50"/>
  <c r="M58" i="50"/>
  <c r="P57" i="50"/>
  <c r="P56" i="50"/>
  <c r="P55" i="50"/>
  <c r="P41" i="50"/>
  <c r="P54" i="50"/>
  <c r="P46" i="50"/>
  <c r="P40" i="50"/>
  <c r="P45" i="50"/>
  <c r="P44" i="50"/>
  <c r="P36" i="50"/>
  <c r="P35" i="50"/>
  <c r="P58" i="50"/>
  <c r="P38" i="50"/>
  <c r="F84" i="41"/>
  <c r="F89" i="41" s="1"/>
  <c r="T129" i="50"/>
  <c r="I78" i="41"/>
  <c r="I82" i="41"/>
  <c r="I87" i="41" s="1"/>
  <c r="F78" i="41"/>
  <c r="M114" i="50" s="1"/>
  <c r="G78" i="41"/>
  <c r="F77" i="41"/>
  <c r="F114" i="50" s="1"/>
  <c r="G77" i="41"/>
  <c r="J78" i="41"/>
  <c r="I79" i="41"/>
  <c r="H77" i="41"/>
  <c r="P82" i="41" s="1"/>
  <c r="N89" i="41"/>
  <c r="K79" i="41"/>
  <c r="K77" i="41"/>
  <c r="K83" i="41"/>
  <c r="K88" i="41" s="1"/>
  <c r="H84" i="41"/>
  <c r="H89" i="41" s="1"/>
  <c r="J84" i="41"/>
  <c r="J89" i="41" s="1"/>
  <c r="J77" i="41"/>
  <c r="H78" i="41"/>
  <c r="E83" i="41"/>
  <c r="E88" i="41" s="1"/>
  <c r="T33" i="50"/>
  <c r="T29" i="50"/>
  <c r="T23" i="50"/>
  <c r="T19" i="50"/>
  <c r="T15" i="50"/>
  <c r="T30" i="50"/>
  <c r="T22" i="50"/>
  <c r="T10" i="50"/>
  <c r="T32" i="50"/>
  <c r="T24" i="50"/>
  <c r="T11" i="50"/>
  <c r="T16" i="50"/>
  <c r="T31" i="50"/>
  <c r="T21" i="50"/>
  <c r="T13" i="50"/>
  <c r="T20" i="50"/>
  <c r="J257" i="50"/>
  <c r="R235" i="50"/>
  <c r="R258" i="50"/>
  <c r="R257" i="50" s="1"/>
  <c r="Y258" i="50"/>
  <c r="Q257" i="50"/>
  <c r="K235" i="50"/>
  <c r="K258" i="50"/>
  <c r="K257" i="50" s="1"/>
  <c r="M97" i="41" l="1"/>
  <c r="U14" i="50"/>
  <c r="N78" i="50"/>
  <c r="O78" i="50" s="1"/>
  <c r="P78" i="50" s="1"/>
  <c r="Q78" i="50" s="1"/>
  <c r="R78" i="50" s="1"/>
  <c r="O64" i="50"/>
  <c r="P64" i="50" s="1"/>
  <c r="Q64" i="50" s="1"/>
  <c r="R64" i="50" s="1"/>
  <c r="I130" i="50"/>
  <c r="H130" i="50"/>
  <c r="K130" i="50"/>
  <c r="G130" i="50"/>
  <c r="J130" i="50"/>
  <c r="V13" i="7"/>
  <c r="U114" i="50"/>
  <c r="V114" i="50" s="1"/>
  <c r="U67" i="50"/>
  <c r="V67" i="50" s="1"/>
  <c r="W67" i="50" s="1"/>
  <c r="X67" i="50" s="1"/>
  <c r="Y67" i="50" s="1"/>
  <c r="N114" i="50"/>
  <c r="M174" i="50"/>
  <c r="G114" i="50"/>
  <c r="F174" i="50"/>
  <c r="U64" i="50"/>
  <c r="V64" i="50" s="1"/>
  <c r="W64" i="50" s="1"/>
  <c r="X64" i="50" s="1"/>
  <c r="Y64" i="50" s="1"/>
  <c r="H67" i="50"/>
  <c r="I67" i="50" s="1"/>
  <c r="J67" i="50" s="1"/>
  <c r="K67" i="50" s="1"/>
  <c r="N159" i="50"/>
  <c r="O159" i="50" s="1"/>
  <c r="P159" i="50" s="1"/>
  <c r="Q159" i="50" s="1"/>
  <c r="R159" i="50" s="1"/>
  <c r="U17" i="50"/>
  <c r="T92" i="50"/>
  <c r="F14" i="50"/>
  <c r="F89" i="50" s="1"/>
  <c r="F17" i="50"/>
  <c r="M14" i="50"/>
  <c r="N14" i="50" s="1"/>
  <c r="M17" i="50"/>
  <c r="T89" i="50"/>
  <c r="N67" i="50"/>
  <c r="O67" i="50" s="1"/>
  <c r="P67" i="50" s="1"/>
  <c r="Q67" i="50" s="1"/>
  <c r="R67" i="50" s="1"/>
  <c r="H64" i="50"/>
  <c r="I64" i="50" s="1"/>
  <c r="J64" i="50" s="1"/>
  <c r="K64" i="50" s="1"/>
  <c r="T13" i="7"/>
  <c r="V14" i="50"/>
  <c r="Q13" i="7"/>
  <c r="Q26" i="7"/>
  <c r="F15" i="7"/>
  <c r="W91" i="41"/>
  <c r="M84" i="41"/>
  <c r="M89" i="41" s="1"/>
  <c r="M98" i="41" s="1"/>
  <c r="Q17" i="7" s="1"/>
  <c r="Q28" i="7" s="1"/>
  <c r="Q32" i="7" s="1"/>
  <c r="E94" i="41"/>
  <c r="Q9" i="7" s="1"/>
  <c r="T84" i="41"/>
  <c r="T89" i="41" s="1"/>
  <c r="T98" i="41" s="1"/>
  <c r="Q18" i="7" s="1"/>
  <c r="Q21" i="7" s="1"/>
  <c r="E84" i="41"/>
  <c r="E89" i="41" s="1"/>
  <c r="E86" i="41" s="1"/>
  <c r="N91" i="41"/>
  <c r="D14" i="7"/>
  <c r="D13" i="7" s="1"/>
  <c r="Y91" i="41"/>
  <c r="C13" i="7"/>
  <c r="C26" i="7"/>
  <c r="J13" i="7"/>
  <c r="J26" i="7"/>
  <c r="Q91" i="41"/>
  <c r="G14" i="7"/>
  <c r="G13" i="7" s="1"/>
  <c r="E14" i="7"/>
  <c r="E13" i="7" s="1"/>
  <c r="O91" i="41"/>
  <c r="M82" i="41"/>
  <c r="M87" i="41" s="1"/>
  <c r="M96" i="41" s="1"/>
  <c r="T82" i="41"/>
  <c r="T87" i="41" s="1"/>
  <c r="E92" i="41"/>
  <c r="C9" i="7" s="1"/>
  <c r="F14" i="7"/>
  <c r="F13" i="7" s="1"/>
  <c r="P91" i="41"/>
  <c r="R91" i="41"/>
  <c r="H14" i="7"/>
  <c r="H13" i="7" s="1"/>
  <c r="M91" i="41"/>
  <c r="U159" i="50"/>
  <c r="V159" i="50" s="1"/>
  <c r="W159" i="50" s="1"/>
  <c r="X159" i="50" s="1"/>
  <c r="Y159" i="50" s="1"/>
  <c r="U76" i="50"/>
  <c r="V76" i="50" s="1"/>
  <c r="W76" i="50" s="1"/>
  <c r="X76" i="50" s="1"/>
  <c r="Y76" i="50" s="1"/>
  <c r="H76" i="50"/>
  <c r="I76" i="50" s="1"/>
  <c r="J76" i="50" s="1"/>
  <c r="K76" i="50" s="1"/>
  <c r="H74" i="50"/>
  <c r="I74" i="50" s="1"/>
  <c r="J74" i="50" s="1"/>
  <c r="K74" i="50" s="1"/>
  <c r="H159" i="50"/>
  <c r="I159" i="50" s="1"/>
  <c r="J159" i="50" s="1"/>
  <c r="K159" i="50" s="1"/>
  <c r="M27" i="50"/>
  <c r="M25" i="50"/>
  <c r="M24" i="50"/>
  <c r="M26" i="50"/>
  <c r="M28" i="50"/>
  <c r="M119" i="50"/>
  <c r="U25" i="50"/>
  <c r="T100" i="50"/>
  <c r="F26" i="50"/>
  <c r="F24" i="50"/>
  <c r="F28" i="50"/>
  <c r="F27" i="50"/>
  <c r="F29" i="50"/>
  <c r="F25" i="50"/>
  <c r="F118" i="50"/>
  <c r="F119" i="50"/>
  <c r="H75" i="50"/>
  <c r="I75" i="50" s="1"/>
  <c r="J75" i="50" s="1"/>
  <c r="K75" i="50" s="1"/>
  <c r="U27" i="50"/>
  <c r="T102" i="50"/>
  <c r="N77" i="50"/>
  <c r="O77" i="50" s="1"/>
  <c r="P77" i="50" s="1"/>
  <c r="Q77" i="50" s="1"/>
  <c r="R77" i="50" s="1"/>
  <c r="P76" i="50"/>
  <c r="Q76" i="50" s="1"/>
  <c r="R76" i="50" s="1"/>
  <c r="U78" i="50"/>
  <c r="V78" i="50" s="1"/>
  <c r="W78" i="50" s="1"/>
  <c r="X78" i="50" s="1"/>
  <c r="Y78" i="50" s="1"/>
  <c r="U77" i="50"/>
  <c r="V77" i="50" s="1"/>
  <c r="W77" i="50" s="1"/>
  <c r="X77" i="50" s="1"/>
  <c r="Y77" i="50" s="1"/>
  <c r="U26" i="50"/>
  <c r="T101" i="50"/>
  <c r="N75" i="50"/>
  <c r="O75" i="50" s="1"/>
  <c r="P75" i="50" s="1"/>
  <c r="Q75" i="50" s="1"/>
  <c r="R75" i="50" s="1"/>
  <c r="U75" i="50"/>
  <c r="V75" i="50" s="1"/>
  <c r="W75" i="50" s="1"/>
  <c r="X75" i="50" s="1"/>
  <c r="Y75" i="50" s="1"/>
  <c r="U119" i="50"/>
  <c r="T179" i="50"/>
  <c r="U28" i="50"/>
  <c r="T103" i="50"/>
  <c r="C8" i="7"/>
  <c r="J17" i="7"/>
  <c r="J9" i="7"/>
  <c r="J8" i="7"/>
  <c r="E97" i="41"/>
  <c r="J92" i="41"/>
  <c r="Y82" i="41"/>
  <c r="Y87" i="41" s="1"/>
  <c r="R82" i="41"/>
  <c r="R87" i="41" s="1"/>
  <c r="W82" i="41"/>
  <c r="W87" i="41" s="1"/>
  <c r="H92" i="41"/>
  <c r="V82" i="41"/>
  <c r="V87" i="41" s="1"/>
  <c r="V96" i="41" s="1"/>
  <c r="E18" i="7" s="1"/>
  <c r="O82" i="41"/>
  <c r="O87" i="41" s="1"/>
  <c r="G92" i="41"/>
  <c r="Z84" i="41"/>
  <c r="Z89" i="41" s="1"/>
  <c r="S84" i="41"/>
  <c r="S89" i="41" s="1"/>
  <c r="S98" i="41" s="1"/>
  <c r="W17" i="7" s="1"/>
  <c r="K94" i="41"/>
  <c r="W9" i="7" s="1"/>
  <c r="X84" i="41"/>
  <c r="X89" i="41" s="1"/>
  <c r="X98" i="41" s="1"/>
  <c r="U18" i="7" s="1"/>
  <c r="U21" i="7" s="1"/>
  <c r="I94" i="41"/>
  <c r="U9" i="7" s="1"/>
  <c r="Q84" i="41"/>
  <c r="Q89" i="41" s="1"/>
  <c r="Q98" i="41" s="1"/>
  <c r="U17" i="7" s="1"/>
  <c r="F92" i="41"/>
  <c r="U82" i="41"/>
  <c r="U87" i="41" s="1"/>
  <c r="U96" i="41" s="1"/>
  <c r="D18" i="7" s="1"/>
  <c r="D21" i="7" s="1"/>
  <c r="N82" i="41"/>
  <c r="N87" i="41" s="1"/>
  <c r="N96" i="41" s="1"/>
  <c r="G19" i="49"/>
  <c r="G8" i="7"/>
  <c r="I96" i="41"/>
  <c r="G10" i="7" s="1"/>
  <c r="R19" i="49"/>
  <c r="R8" i="7"/>
  <c r="F98" i="41"/>
  <c r="R10" i="7" s="1"/>
  <c r="V19" i="49"/>
  <c r="V8" i="7"/>
  <c r="J98" i="41"/>
  <c r="V10" i="7" s="1"/>
  <c r="T19" i="49"/>
  <c r="H98" i="41"/>
  <c r="T10" i="7" s="1"/>
  <c r="T8" i="7"/>
  <c r="P19" i="49"/>
  <c r="P8" i="7"/>
  <c r="K97" i="41"/>
  <c r="P10" i="7" s="1"/>
  <c r="Y83" i="41"/>
  <c r="Y88" i="41" s="1"/>
  <c r="Y97" i="41" s="1"/>
  <c r="O18" i="7" s="1"/>
  <c r="O21" i="7" s="1"/>
  <c r="J93" i="41"/>
  <c r="O9" i="7" s="1"/>
  <c r="R83" i="41"/>
  <c r="R88" i="41" s="1"/>
  <c r="O83" i="41"/>
  <c r="O88" i="41" s="1"/>
  <c r="V83" i="41"/>
  <c r="V88" i="41" s="1"/>
  <c r="G93" i="41"/>
  <c r="X83" i="41"/>
  <c r="X88" i="41" s="1"/>
  <c r="I93" i="41"/>
  <c r="N9" i="7" s="1"/>
  <c r="Q83" i="41"/>
  <c r="Q88" i="41" s="1"/>
  <c r="G9" i="7"/>
  <c r="H93" i="41"/>
  <c r="M9" i="7" s="1"/>
  <c r="W83" i="41"/>
  <c r="W88" i="41" s="1"/>
  <c r="P83" i="41"/>
  <c r="P88" i="41" s="1"/>
  <c r="Z82" i="41"/>
  <c r="Z87" i="41" s="1"/>
  <c r="S82" i="41"/>
  <c r="S87" i="41" s="1"/>
  <c r="S96" i="41" s="1"/>
  <c r="I17" i="7" s="1"/>
  <c r="K92" i="41"/>
  <c r="M15" i="50"/>
  <c r="N15" i="50" s="1"/>
  <c r="O15" i="50" s="1"/>
  <c r="U83" i="41"/>
  <c r="U88" i="41" s="1"/>
  <c r="U97" i="41" s="1"/>
  <c r="K18" i="7" s="1"/>
  <c r="K21" i="7" s="1"/>
  <c r="N83" i="41"/>
  <c r="N88" i="41" s="1"/>
  <c r="N97" i="41" s="1"/>
  <c r="K17" i="7" s="1"/>
  <c r="F93" i="41"/>
  <c r="K9" i="7" s="1"/>
  <c r="V84" i="41"/>
  <c r="V89" i="41" s="1"/>
  <c r="G94" i="41"/>
  <c r="O84" i="41"/>
  <c r="O89" i="41" s="1"/>
  <c r="O98" i="41" s="1"/>
  <c r="S17" i="7" s="1"/>
  <c r="D27" i="7"/>
  <c r="D55" i="53"/>
  <c r="W98" i="41"/>
  <c r="T18" i="7" s="1"/>
  <c r="T21" i="7" s="1"/>
  <c r="Z97" i="41"/>
  <c r="P18" i="7" s="1"/>
  <c r="P21" i="7" s="1"/>
  <c r="N98" i="41"/>
  <c r="R17" i="7" s="1"/>
  <c r="P98" i="41"/>
  <c r="T17" i="7" s="1"/>
  <c r="G84" i="41"/>
  <c r="G89" i="41" s="1"/>
  <c r="U15" i="50"/>
  <c r="V15" i="50" s="1"/>
  <c r="R89" i="41"/>
  <c r="U122" i="50"/>
  <c r="V122" i="50" s="1"/>
  <c r="W122" i="50" s="1"/>
  <c r="X122" i="50" s="1"/>
  <c r="Y122" i="50" s="1"/>
  <c r="U121" i="50"/>
  <c r="V121" i="50" s="1"/>
  <c r="W121" i="50" s="1"/>
  <c r="X121" i="50" s="1"/>
  <c r="Y121" i="50" s="1"/>
  <c r="U111" i="50"/>
  <c r="V111" i="50" s="1"/>
  <c r="W111" i="50" s="1"/>
  <c r="X111" i="50" s="1"/>
  <c r="Y111" i="50" s="1"/>
  <c r="U124" i="50"/>
  <c r="V124" i="50" s="1"/>
  <c r="W124" i="50" s="1"/>
  <c r="X124" i="50" s="1"/>
  <c r="Y124" i="50" s="1"/>
  <c r="U125" i="50"/>
  <c r="V125" i="50" s="1"/>
  <c r="W125" i="50" s="1"/>
  <c r="X125" i="50" s="1"/>
  <c r="Y125" i="50" s="1"/>
  <c r="U126" i="50"/>
  <c r="V126" i="50" s="1"/>
  <c r="W126" i="50" s="1"/>
  <c r="X126" i="50" s="1"/>
  <c r="Y126" i="50" s="1"/>
  <c r="U128" i="50"/>
  <c r="V128" i="50" s="1"/>
  <c r="W128" i="50" s="1"/>
  <c r="X128" i="50" s="1"/>
  <c r="Y128" i="50" s="1"/>
  <c r="U116" i="50"/>
  <c r="V116" i="50" s="1"/>
  <c r="W116" i="50" s="1"/>
  <c r="X116" i="50" s="1"/>
  <c r="Y116" i="50" s="1"/>
  <c r="U113" i="50"/>
  <c r="V113" i="50" s="1"/>
  <c r="W113" i="50" s="1"/>
  <c r="X113" i="50" s="1"/>
  <c r="Y113" i="50" s="1"/>
  <c r="U117" i="50"/>
  <c r="V117" i="50" s="1"/>
  <c r="W117" i="50" s="1"/>
  <c r="X117" i="50" s="1"/>
  <c r="Y117" i="50" s="1"/>
  <c r="U112" i="50"/>
  <c r="V112" i="50" s="1"/>
  <c r="W112" i="50" s="1"/>
  <c r="X112" i="50" s="1"/>
  <c r="Y112" i="50" s="1"/>
  <c r="U127" i="50"/>
  <c r="V127" i="50" s="1"/>
  <c r="W127" i="50" s="1"/>
  <c r="X127" i="50" s="1"/>
  <c r="Y127" i="50" s="1"/>
  <c r="G83" i="41"/>
  <c r="L78" i="41"/>
  <c r="Q87" i="41"/>
  <c r="L77" i="41"/>
  <c r="L79" i="41"/>
  <c r="H158" i="50"/>
  <c r="I158" i="50" s="1"/>
  <c r="T130" i="50"/>
  <c r="Y130" i="50"/>
  <c r="W130" i="50"/>
  <c r="W118" i="50"/>
  <c r="X118" i="50" s="1"/>
  <c r="Y118" i="50" s="1"/>
  <c r="W123" i="50"/>
  <c r="X123" i="50" s="1"/>
  <c r="Y123" i="50" s="1"/>
  <c r="W120" i="50"/>
  <c r="X120" i="50" s="1"/>
  <c r="Y120" i="50" s="1"/>
  <c r="W115" i="50"/>
  <c r="X115" i="50" s="1"/>
  <c r="Y115" i="50" s="1"/>
  <c r="G151" i="50"/>
  <c r="H151" i="50" s="1"/>
  <c r="X130" i="50"/>
  <c r="V130" i="50"/>
  <c r="U130" i="50"/>
  <c r="F116" i="50"/>
  <c r="F117" i="50"/>
  <c r="F125" i="50"/>
  <c r="F111" i="50"/>
  <c r="G111" i="50" s="1"/>
  <c r="F112" i="50"/>
  <c r="F126" i="50"/>
  <c r="F123" i="50"/>
  <c r="F127" i="50"/>
  <c r="F120" i="50"/>
  <c r="F122" i="50"/>
  <c r="F115" i="50"/>
  <c r="F124" i="50"/>
  <c r="F128" i="50"/>
  <c r="F121" i="50"/>
  <c r="F113" i="50"/>
  <c r="M116" i="50"/>
  <c r="N116" i="50" s="1"/>
  <c r="O116" i="50" s="1"/>
  <c r="P116" i="50" s="1"/>
  <c r="Q116" i="50" s="1"/>
  <c r="R116" i="50" s="1"/>
  <c r="M120" i="50"/>
  <c r="N120" i="50" s="1"/>
  <c r="O120" i="50" s="1"/>
  <c r="P120" i="50" s="1"/>
  <c r="Q120" i="50" s="1"/>
  <c r="R120" i="50" s="1"/>
  <c r="M123" i="50"/>
  <c r="N123" i="50" s="1"/>
  <c r="O123" i="50" s="1"/>
  <c r="P123" i="50" s="1"/>
  <c r="Q123" i="50" s="1"/>
  <c r="R123" i="50" s="1"/>
  <c r="M122" i="50"/>
  <c r="N122" i="50" s="1"/>
  <c r="O122" i="50" s="1"/>
  <c r="P122" i="50" s="1"/>
  <c r="Q122" i="50" s="1"/>
  <c r="R122" i="50" s="1"/>
  <c r="M128" i="50"/>
  <c r="N128" i="50" s="1"/>
  <c r="O128" i="50" s="1"/>
  <c r="P128" i="50" s="1"/>
  <c r="Q128" i="50" s="1"/>
  <c r="R128" i="50" s="1"/>
  <c r="M127" i="50"/>
  <c r="N127" i="50" s="1"/>
  <c r="O127" i="50" s="1"/>
  <c r="P127" i="50" s="1"/>
  <c r="Q127" i="50" s="1"/>
  <c r="R127" i="50" s="1"/>
  <c r="M117" i="50"/>
  <c r="N117" i="50" s="1"/>
  <c r="O117" i="50" s="1"/>
  <c r="P117" i="50" s="1"/>
  <c r="Q117" i="50" s="1"/>
  <c r="R117" i="50" s="1"/>
  <c r="M124" i="50"/>
  <c r="N124" i="50" s="1"/>
  <c r="O124" i="50" s="1"/>
  <c r="P124" i="50" s="1"/>
  <c r="Q124" i="50" s="1"/>
  <c r="R124" i="50" s="1"/>
  <c r="M112" i="50"/>
  <c r="N112" i="50" s="1"/>
  <c r="O112" i="50" s="1"/>
  <c r="P112" i="50" s="1"/>
  <c r="Q112" i="50" s="1"/>
  <c r="R112" i="50" s="1"/>
  <c r="M125" i="50"/>
  <c r="N125" i="50" s="1"/>
  <c r="O125" i="50" s="1"/>
  <c r="P125" i="50" s="1"/>
  <c r="Q125" i="50" s="1"/>
  <c r="R125" i="50" s="1"/>
  <c r="M126" i="50"/>
  <c r="N126" i="50" s="1"/>
  <c r="O126" i="50" s="1"/>
  <c r="P126" i="50" s="1"/>
  <c r="Q126" i="50" s="1"/>
  <c r="R126" i="50" s="1"/>
  <c r="M111" i="50"/>
  <c r="N111" i="50" s="1"/>
  <c r="O111" i="50" s="1"/>
  <c r="P111" i="50" s="1"/>
  <c r="Q111" i="50" s="1"/>
  <c r="R111" i="50" s="1"/>
  <c r="M115" i="50"/>
  <c r="N115" i="50" s="1"/>
  <c r="O115" i="50" s="1"/>
  <c r="P115" i="50" s="1"/>
  <c r="Q115" i="50" s="1"/>
  <c r="R115" i="50" s="1"/>
  <c r="M121" i="50"/>
  <c r="N121" i="50" s="1"/>
  <c r="O121" i="50" s="1"/>
  <c r="P121" i="50" s="1"/>
  <c r="Q121" i="50" s="1"/>
  <c r="R121" i="50" s="1"/>
  <c r="M113" i="50"/>
  <c r="N113" i="50" s="1"/>
  <c r="O113" i="50" s="1"/>
  <c r="P113" i="50" s="1"/>
  <c r="Q113" i="50" s="1"/>
  <c r="R113" i="50" s="1"/>
  <c r="M118" i="50"/>
  <c r="N118" i="50" s="1"/>
  <c r="O118" i="50" s="1"/>
  <c r="P118" i="50" s="1"/>
  <c r="Q118" i="50" s="1"/>
  <c r="R118" i="50" s="1"/>
  <c r="H165" i="50"/>
  <c r="H161" i="50"/>
  <c r="H168" i="50"/>
  <c r="H162" i="50"/>
  <c r="H166" i="50"/>
  <c r="H152" i="50"/>
  <c r="H156" i="50"/>
  <c r="H155" i="50"/>
  <c r="H163" i="50"/>
  <c r="H160" i="50"/>
  <c r="H153" i="50"/>
  <c r="T173" i="50"/>
  <c r="U153" i="50"/>
  <c r="T182" i="50"/>
  <c r="U162" i="50"/>
  <c r="T183" i="50"/>
  <c r="U163" i="50"/>
  <c r="U167" i="50"/>
  <c r="T187" i="50"/>
  <c r="T184" i="50"/>
  <c r="U164" i="50"/>
  <c r="U161" i="50"/>
  <c r="T181" i="50"/>
  <c r="T172" i="50"/>
  <c r="U152" i="50"/>
  <c r="H164" i="50"/>
  <c r="H157" i="50"/>
  <c r="H167" i="50"/>
  <c r="T178" i="50"/>
  <c r="U158" i="50"/>
  <c r="T180" i="50"/>
  <c r="U160" i="50"/>
  <c r="T186" i="50"/>
  <c r="U166" i="50"/>
  <c r="T185" i="50"/>
  <c r="U165" i="50"/>
  <c r="U151" i="50"/>
  <c r="T171" i="50"/>
  <c r="T188" i="50"/>
  <c r="U168" i="50"/>
  <c r="U156" i="50"/>
  <c r="T176" i="50"/>
  <c r="T177" i="50"/>
  <c r="U157" i="50"/>
  <c r="U155" i="50"/>
  <c r="T175" i="50"/>
  <c r="F10" i="50"/>
  <c r="G10" i="50" s="1"/>
  <c r="F169" i="50"/>
  <c r="F150" i="50" s="1"/>
  <c r="N153" i="50"/>
  <c r="N168" i="50"/>
  <c r="N155" i="50"/>
  <c r="N156" i="50"/>
  <c r="N157" i="50"/>
  <c r="F20" i="50"/>
  <c r="G20" i="50" s="1"/>
  <c r="F11" i="50"/>
  <c r="G11" i="50" s="1"/>
  <c r="F82" i="41"/>
  <c r="F87" i="41" s="1"/>
  <c r="F129" i="50"/>
  <c r="M129" i="50"/>
  <c r="U129" i="50"/>
  <c r="T110" i="50"/>
  <c r="U89" i="41"/>
  <c r="R12" i="49"/>
  <c r="U169" i="50"/>
  <c r="T189" i="50"/>
  <c r="T150" i="50"/>
  <c r="M10" i="50"/>
  <c r="N10" i="50" s="1"/>
  <c r="O10" i="50" s="1"/>
  <c r="F19" i="50"/>
  <c r="G19" i="50" s="1"/>
  <c r="F33" i="50"/>
  <c r="G33" i="50" s="1"/>
  <c r="F21" i="50"/>
  <c r="G21" i="50" s="1"/>
  <c r="P87" i="41"/>
  <c r="M31" i="50"/>
  <c r="N130" i="50"/>
  <c r="I83" i="41"/>
  <c r="I88" i="41" s="1"/>
  <c r="F22" i="50"/>
  <c r="F31" i="50"/>
  <c r="M33" i="50"/>
  <c r="N33" i="50" s="1"/>
  <c r="O33" i="50" s="1"/>
  <c r="M11" i="50"/>
  <c r="N11" i="50" s="1"/>
  <c r="O11" i="50" s="1"/>
  <c r="I84" i="41"/>
  <c r="I89" i="41" s="1"/>
  <c r="F23" i="50"/>
  <c r="F16" i="50"/>
  <c r="G16" i="50" s="1"/>
  <c r="M21" i="50"/>
  <c r="N21" i="50" s="1"/>
  <c r="O21" i="50" s="1"/>
  <c r="M30" i="50"/>
  <c r="H82" i="41"/>
  <c r="H87" i="41" s="1"/>
  <c r="F83" i="41"/>
  <c r="F88" i="41" s="1"/>
  <c r="M29" i="50"/>
  <c r="M22" i="50"/>
  <c r="M16" i="50"/>
  <c r="N16" i="50" s="1"/>
  <c r="O16" i="50" s="1"/>
  <c r="M19" i="50"/>
  <c r="M20" i="50"/>
  <c r="N20" i="50" s="1"/>
  <c r="O20" i="50" s="1"/>
  <c r="F15" i="50"/>
  <c r="G15" i="50" s="1"/>
  <c r="F13" i="50"/>
  <c r="F30" i="50"/>
  <c r="F32" i="50"/>
  <c r="G32" i="50" s="1"/>
  <c r="M23" i="50"/>
  <c r="M13" i="50"/>
  <c r="M32" i="50"/>
  <c r="N32" i="50" s="1"/>
  <c r="O32" i="50" s="1"/>
  <c r="J83" i="41"/>
  <c r="J88" i="41" s="1"/>
  <c r="G82" i="41"/>
  <c r="K82" i="41"/>
  <c r="K87" i="41" s="1"/>
  <c r="Y89" i="41"/>
  <c r="K84" i="41"/>
  <c r="K89" i="41" s="1"/>
  <c r="O130" i="50"/>
  <c r="M81" i="50"/>
  <c r="M80" i="50"/>
  <c r="M83" i="50"/>
  <c r="M72" i="50"/>
  <c r="M65" i="50"/>
  <c r="M71" i="50"/>
  <c r="M66" i="50"/>
  <c r="M79" i="50"/>
  <c r="M70" i="50"/>
  <c r="M73" i="50"/>
  <c r="M61" i="50"/>
  <c r="M60" i="50"/>
  <c r="F81" i="50"/>
  <c r="F78" i="50"/>
  <c r="F72" i="50"/>
  <c r="G72" i="50" s="1"/>
  <c r="F69" i="50"/>
  <c r="F60" i="50"/>
  <c r="F65" i="50"/>
  <c r="F61" i="50"/>
  <c r="F70" i="50"/>
  <c r="F73" i="50"/>
  <c r="F71" i="50"/>
  <c r="F80" i="50"/>
  <c r="F63" i="50"/>
  <c r="F83" i="50"/>
  <c r="F66" i="50"/>
  <c r="G66" i="50" s="1"/>
  <c r="S88" i="41"/>
  <c r="T88" i="41"/>
  <c r="H83" i="41"/>
  <c r="H88" i="41" s="1"/>
  <c r="T81" i="50"/>
  <c r="T65" i="50"/>
  <c r="T90" i="50" s="1"/>
  <c r="T72" i="50"/>
  <c r="T97" i="50" s="1"/>
  <c r="T61" i="50"/>
  <c r="T86" i="50" s="1"/>
  <c r="T69" i="50"/>
  <c r="T94" i="50" s="1"/>
  <c r="T60" i="50"/>
  <c r="T83" i="50"/>
  <c r="T108" i="50" s="1"/>
  <c r="T80" i="50"/>
  <c r="U80" i="50" s="1"/>
  <c r="J82" i="41"/>
  <c r="J87" i="41" s="1"/>
  <c r="X87" i="41"/>
  <c r="N152" i="50"/>
  <c r="N163" i="50"/>
  <c r="U23" i="50"/>
  <c r="N160" i="50"/>
  <c r="U29" i="50"/>
  <c r="Q130" i="50"/>
  <c r="N167" i="50"/>
  <c r="N164" i="50"/>
  <c r="M151" i="50"/>
  <c r="M130" i="50"/>
  <c r="K27" i="7" s="1"/>
  <c r="U20" i="50"/>
  <c r="U31" i="50"/>
  <c r="U11" i="50"/>
  <c r="U24" i="50"/>
  <c r="U10" i="50"/>
  <c r="U33" i="50"/>
  <c r="N162" i="50"/>
  <c r="N166" i="50"/>
  <c r="U13" i="50"/>
  <c r="T12" i="50"/>
  <c r="U16" i="50"/>
  <c r="U22" i="50"/>
  <c r="V22" i="50" s="1"/>
  <c r="W22" i="50" s="1"/>
  <c r="N165" i="50"/>
  <c r="U21" i="50"/>
  <c r="U30" i="50"/>
  <c r="N158" i="50"/>
  <c r="N161" i="50"/>
  <c r="N169" i="50"/>
  <c r="U32" i="50"/>
  <c r="U19" i="50"/>
  <c r="T18" i="50"/>
  <c r="E21" i="7" l="1"/>
  <c r="U174" i="50"/>
  <c r="G14" i="50"/>
  <c r="G89" i="50" s="1"/>
  <c r="O114" i="50"/>
  <c r="N174" i="50"/>
  <c r="U89" i="50"/>
  <c r="H114" i="50"/>
  <c r="G174" i="50"/>
  <c r="W114" i="50"/>
  <c r="V174" i="50"/>
  <c r="U105" i="50"/>
  <c r="N86" i="41"/>
  <c r="N68" i="41" s="1"/>
  <c r="E96" i="41"/>
  <c r="C10" i="7" s="1"/>
  <c r="M89" i="50"/>
  <c r="N17" i="50"/>
  <c r="M92" i="50"/>
  <c r="G17" i="50"/>
  <c r="F92" i="50"/>
  <c r="E91" i="41"/>
  <c r="V17" i="50"/>
  <c r="U92" i="50"/>
  <c r="G13" i="50"/>
  <c r="H13" i="50" s="1"/>
  <c r="F12" i="50"/>
  <c r="O14" i="50"/>
  <c r="N89" i="50"/>
  <c r="Q8" i="7"/>
  <c r="E98" i="41"/>
  <c r="Q10" i="7" s="1"/>
  <c r="W14" i="50"/>
  <c r="V89" i="50"/>
  <c r="T105" i="50"/>
  <c r="V28" i="50"/>
  <c r="U103" i="50"/>
  <c r="G25" i="50"/>
  <c r="F100" i="50"/>
  <c r="G24" i="50"/>
  <c r="F99" i="50"/>
  <c r="N119" i="50"/>
  <c r="M179" i="50"/>
  <c r="N25" i="50"/>
  <c r="M100" i="50"/>
  <c r="N22" i="50"/>
  <c r="M97" i="50"/>
  <c r="V26" i="50"/>
  <c r="U101" i="50"/>
  <c r="V27" i="50"/>
  <c r="U102" i="50"/>
  <c r="G29" i="50"/>
  <c r="F104" i="50"/>
  <c r="G26" i="50"/>
  <c r="F101" i="50"/>
  <c r="N28" i="50"/>
  <c r="M103" i="50"/>
  <c r="N27" i="50"/>
  <c r="M102" i="50"/>
  <c r="G23" i="50"/>
  <c r="H23" i="50" s="1"/>
  <c r="F98" i="50"/>
  <c r="V119" i="50"/>
  <c r="U179" i="50"/>
  <c r="G119" i="50"/>
  <c r="F179" i="50"/>
  <c r="G27" i="50"/>
  <c r="F102" i="50"/>
  <c r="N26" i="50"/>
  <c r="M101" i="50"/>
  <c r="N23" i="50"/>
  <c r="M98" i="50"/>
  <c r="N29" i="50"/>
  <c r="M104" i="50"/>
  <c r="G30" i="50"/>
  <c r="H30" i="50" s="1"/>
  <c r="F105" i="50"/>
  <c r="N30" i="50"/>
  <c r="M105" i="50"/>
  <c r="G22" i="50"/>
  <c r="G18" i="50" s="1"/>
  <c r="F97" i="50"/>
  <c r="M95" i="41"/>
  <c r="G28" i="50"/>
  <c r="F103" i="50"/>
  <c r="V25" i="50"/>
  <c r="U100" i="50"/>
  <c r="N24" i="50"/>
  <c r="M99" i="50"/>
  <c r="Q16" i="7"/>
  <c r="Q12" i="7" s="1"/>
  <c r="U16" i="7"/>
  <c r="U12" i="7" s="1"/>
  <c r="J10" i="7"/>
  <c r="J28" i="7"/>
  <c r="J32" i="7" s="1"/>
  <c r="T16" i="7"/>
  <c r="T12" i="7" s="1"/>
  <c r="T20" i="7" s="1"/>
  <c r="K16" i="7"/>
  <c r="K12" i="7" s="1"/>
  <c r="W19" i="49"/>
  <c r="W8" i="7"/>
  <c r="K98" i="41"/>
  <c r="W10" i="7" s="1"/>
  <c r="O19" i="49"/>
  <c r="J97" i="41"/>
  <c r="O10" i="7" s="1"/>
  <c r="O8" i="7"/>
  <c r="N8" i="7"/>
  <c r="I97" i="41"/>
  <c r="D8" i="7"/>
  <c r="F96" i="41"/>
  <c r="S19" i="49"/>
  <c r="S8" i="7"/>
  <c r="G98" i="41"/>
  <c r="K91" i="41"/>
  <c r="I9" i="7"/>
  <c r="L93" i="41"/>
  <c r="AA93" i="41" s="1"/>
  <c r="L9" i="7"/>
  <c r="M8" i="7"/>
  <c r="H97" i="41"/>
  <c r="M10" i="7" s="1"/>
  <c r="N95" i="41"/>
  <c r="D17" i="7"/>
  <c r="D16" i="7" s="1"/>
  <c r="D12" i="7" s="1"/>
  <c r="D20" i="7" s="1"/>
  <c r="S9" i="7"/>
  <c r="L94" i="41"/>
  <c r="AA94" i="41" s="1"/>
  <c r="H91" i="41"/>
  <c r="F9" i="7"/>
  <c r="U19" i="49"/>
  <c r="I98" i="41"/>
  <c r="U10" i="7" s="1"/>
  <c r="U8" i="7"/>
  <c r="I91" i="41"/>
  <c r="L92" i="41"/>
  <c r="AA92" i="41" s="1"/>
  <c r="G91" i="41"/>
  <c r="E9" i="7"/>
  <c r="H8" i="7"/>
  <c r="J96" i="41"/>
  <c r="K96" i="41"/>
  <c r="I8" i="7"/>
  <c r="F97" i="41"/>
  <c r="K10" i="7" s="1"/>
  <c r="K8" i="7"/>
  <c r="F8" i="7"/>
  <c r="H96" i="41"/>
  <c r="D9" i="7"/>
  <c r="F91" i="41"/>
  <c r="J91" i="41"/>
  <c r="H9" i="7"/>
  <c r="S55" i="53"/>
  <c r="S27" i="7"/>
  <c r="R27" i="7"/>
  <c r="R55" i="53"/>
  <c r="V55" i="53"/>
  <c r="V27" i="7"/>
  <c r="K55" i="53"/>
  <c r="O55" i="53"/>
  <c r="O27" i="7"/>
  <c r="M55" i="53"/>
  <c r="M27" i="7"/>
  <c r="I55" i="53"/>
  <c r="I27" i="7"/>
  <c r="W55" i="53"/>
  <c r="W27" i="7"/>
  <c r="G55" i="53"/>
  <c r="G27" i="7"/>
  <c r="L55" i="53"/>
  <c r="L27" i="7"/>
  <c r="F55" i="53"/>
  <c r="F27" i="7"/>
  <c r="U55" i="53"/>
  <c r="U27" i="7"/>
  <c r="T55" i="53"/>
  <c r="T27" i="7"/>
  <c r="H55" i="53"/>
  <c r="H27" i="7"/>
  <c r="E55" i="53"/>
  <c r="E27" i="7"/>
  <c r="Z98" i="41"/>
  <c r="X97" i="41"/>
  <c r="N18" i="7" s="1"/>
  <c r="N21" i="7" s="1"/>
  <c r="V97" i="41"/>
  <c r="L18" i="7" s="1"/>
  <c r="L21" i="7" s="1"/>
  <c r="Z96" i="41"/>
  <c r="I18" i="7" s="1"/>
  <c r="W96" i="41"/>
  <c r="F18" i="7" s="1"/>
  <c r="F21" i="7" s="1"/>
  <c r="Y98" i="41"/>
  <c r="V18" i="7" s="1"/>
  <c r="V21" i="7" s="1"/>
  <c r="W97" i="41"/>
  <c r="M18" i="7" s="1"/>
  <c r="M21" i="7" s="1"/>
  <c r="X96" i="41"/>
  <c r="Y96" i="41"/>
  <c r="V98" i="41"/>
  <c r="S18" i="7" s="1"/>
  <c r="S21" i="7" s="1"/>
  <c r="U98" i="41"/>
  <c r="T97" i="41"/>
  <c r="J18" i="7" s="1"/>
  <c r="J21" i="7" s="1"/>
  <c r="T96" i="41"/>
  <c r="C18" i="7" s="1"/>
  <c r="R98" i="41"/>
  <c r="V17" i="7" s="1"/>
  <c r="P97" i="41"/>
  <c r="M17" i="7" s="1"/>
  <c r="M16" i="7" s="1"/>
  <c r="R97" i="41"/>
  <c r="O17" i="7" s="1"/>
  <c r="O16" i="7" s="1"/>
  <c r="O12" i="7" s="1"/>
  <c r="Q97" i="41"/>
  <c r="N17" i="7" s="1"/>
  <c r="O97" i="41"/>
  <c r="L17" i="7" s="1"/>
  <c r="S97" i="41"/>
  <c r="R96" i="41"/>
  <c r="Q96" i="41"/>
  <c r="G17" i="7" s="1"/>
  <c r="P96" i="41"/>
  <c r="F17" i="7" s="1"/>
  <c r="O96" i="41"/>
  <c r="L84" i="41"/>
  <c r="AA84" i="41" s="1"/>
  <c r="G87" i="41"/>
  <c r="L82" i="41"/>
  <c r="AA82" i="41" s="1"/>
  <c r="L89" i="41"/>
  <c r="AA89" i="41" s="1"/>
  <c r="G88" i="41"/>
  <c r="L83" i="41"/>
  <c r="AA83" i="41" s="1"/>
  <c r="M86" i="41"/>
  <c r="M68" i="41" s="1"/>
  <c r="M182" i="50"/>
  <c r="M181" i="50"/>
  <c r="M187" i="50"/>
  <c r="M183" i="50"/>
  <c r="M177" i="50"/>
  <c r="M184" i="50"/>
  <c r="M178" i="50"/>
  <c r="M185" i="50"/>
  <c r="M180" i="50"/>
  <c r="N172" i="50"/>
  <c r="M188" i="50"/>
  <c r="M186" i="50"/>
  <c r="G113" i="50"/>
  <c r="F173" i="50"/>
  <c r="G124" i="50"/>
  <c r="F184" i="50"/>
  <c r="G127" i="50"/>
  <c r="F187" i="50"/>
  <c r="F171" i="50"/>
  <c r="F95" i="50"/>
  <c r="M176" i="50"/>
  <c r="G118" i="50"/>
  <c r="F178" i="50"/>
  <c r="G115" i="50"/>
  <c r="F175" i="50"/>
  <c r="G123" i="50"/>
  <c r="F183" i="50"/>
  <c r="G125" i="50"/>
  <c r="F185" i="50"/>
  <c r="G121" i="50"/>
  <c r="F181" i="50"/>
  <c r="G122" i="50"/>
  <c r="F182" i="50"/>
  <c r="G126" i="50"/>
  <c r="F186" i="50"/>
  <c r="G117" i="50"/>
  <c r="F177" i="50"/>
  <c r="M175" i="50"/>
  <c r="M173" i="50"/>
  <c r="M172" i="50"/>
  <c r="G128" i="50"/>
  <c r="F188" i="50"/>
  <c r="G120" i="50"/>
  <c r="F180" i="50"/>
  <c r="G112" i="50"/>
  <c r="F172" i="50"/>
  <c r="G116" i="50"/>
  <c r="F176" i="50"/>
  <c r="T170" i="50"/>
  <c r="U177" i="50"/>
  <c r="V157" i="50"/>
  <c r="V168" i="50"/>
  <c r="U188" i="50"/>
  <c r="V165" i="50"/>
  <c r="U185" i="50"/>
  <c r="V166" i="50"/>
  <c r="U186" i="50"/>
  <c r="U180" i="50"/>
  <c r="V160" i="50"/>
  <c r="U178" i="50"/>
  <c r="V158" i="50"/>
  <c r="I157" i="50"/>
  <c r="I164" i="50"/>
  <c r="V152" i="50"/>
  <c r="U172" i="50"/>
  <c r="U184" i="50"/>
  <c r="V164" i="50"/>
  <c r="U183" i="50"/>
  <c r="V163" i="50"/>
  <c r="V162" i="50"/>
  <c r="U182" i="50"/>
  <c r="V153" i="50"/>
  <c r="U173" i="50"/>
  <c r="I160" i="50"/>
  <c r="I161" i="50"/>
  <c r="V155" i="50"/>
  <c r="U175" i="50"/>
  <c r="V156" i="50"/>
  <c r="U176" i="50"/>
  <c r="V151" i="50"/>
  <c r="U171" i="50"/>
  <c r="I167" i="50"/>
  <c r="V161" i="50"/>
  <c r="U181" i="50"/>
  <c r="V167" i="50"/>
  <c r="U187" i="50"/>
  <c r="I153" i="50"/>
  <c r="I163" i="50"/>
  <c r="I151" i="50"/>
  <c r="I155" i="50"/>
  <c r="I156" i="50"/>
  <c r="I152" i="50"/>
  <c r="I166" i="50"/>
  <c r="I162" i="50"/>
  <c r="I168" i="50"/>
  <c r="I165" i="50"/>
  <c r="G169" i="50"/>
  <c r="G150" i="50" s="1"/>
  <c r="F189" i="50"/>
  <c r="O157" i="50"/>
  <c r="N177" i="50"/>
  <c r="O156" i="50"/>
  <c r="N176" i="50"/>
  <c r="O155" i="50"/>
  <c r="N175" i="50"/>
  <c r="O168" i="50"/>
  <c r="N188" i="50"/>
  <c r="F62" i="50"/>
  <c r="N173" i="50"/>
  <c r="O153" i="50"/>
  <c r="M85" i="50"/>
  <c r="F86" i="50"/>
  <c r="N19" i="49"/>
  <c r="I86" i="41"/>
  <c r="D19" i="49"/>
  <c r="O86" i="41"/>
  <c r="O68" i="41" s="1"/>
  <c r="U86" i="41"/>
  <c r="U68" i="41" s="1"/>
  <c r="F90" i="50"/>
  <c r="N129" i="50"/>
  <c r="N189" i="50" s="1"/>
  <c r="M110" i="50"/>
  <c r="F86" i="41"/>
  <c r="M189" i="50"/>
  <c r="V129" i="50"/>
  <c r="U110" i="50"/>
  <c r="G129" i="50"/>
  <c r="F110" i="50"/>
  <c r="S12" i="49"/>
  <c r="D15" i="49"/>
  <c r="V169" i="50"/>
  <c r="U189" i="50"/>
  <c r="U150" i="50"/>
  <c r="T106" i="50"/>
  <c r="D12" i="49"/>
  <c r="K12" i="49"/>
  <c r="R15" i="49"/>
  <c r="F94" i="50"/>
  <c r="V86" i="41"/>
  <c r="V68" i="41" s="1"/>
  <c r="P130" i="50"/>
  <c r="N31" i="50"/>
  <c r="F18" i="50"/>
  <c r="R130" i="50"/>
  <c r="G31" i="50"/>
  <c r="J86" i="41"/>
  <c r="K86" i="41"/>
  <c r="F96" i="50"/>
  <c r="F107" i="50"/>
  <c r="R86" i="41"/>
  <c r="R68" i="41" s="1"/>
  <c r="Q86" i="41"/>
  <c r="Q68" i="41" s="1"/>
  <c r="N19" i="50"/>
  <c r="M18" i="50"/>
  <c r="G71" i="50"/>
  <c r="H71" i="50" s="1"/>
  <c r="I71" i="50" s="1"/>
  <c r="J71" i="50" s="1"/>
  <c r="K71" i="50" s="1"/>
  <c r="F88" i="50"/>
  <c r="K19" i="49"/>
  <c r="F19" i="49"/>
  <c r="P86" i="41"/>
  <c r="P68" i="41" s="1"/>
  <c r="N13" i="50"/>
  <c r="M12" i="50"/>
  <c r="I19" i="49"/>
  <c r="Z86" i="41"/>
  <c r="Z68" i="41" s="1"/>
  <c r="Y86" i="41"/>
  <c r="Y68" i="41" s="1"/>
  <c r="W43" i="50"/>
  <c r="G83" i="50"/>
  <c r="G108" i="50" s="1"/>
  <c r="G80" i="50"/>
  <c r="G43" i="50"/>
  <c r="G81" i="50"/>
  <c r="X37" i="50"/>
  <c r="P37" i="50"/>
  <c r="P43" i="50"/>
  <c r="G77" i="50"/>
  <c r="F91" i="50"/>
  <c r="K43" i="50"/>
  <c r="K37" i="50"/>
  <c r="X43" i="50"/>
  <c r="Q43" i="50"/>
  <c r="F108" i="50"/>
  <c r="F43" i="50"/>
  <c r="G61" i="50"/>
  <c r="G86" i="50" s="1"/>
  <c r="F37" i="50"/>
  <c r="G70" i="50"/>
  <c r="G95" i="50" s="1"/>
  <c r="G37" i="50"/>
  <c r="G79" i="50"/>
  <c r="G78" i="50"/>
  <c r="G82" i="50"/>
  <c r="G107" i="50" s="1"/>
  <c r="F106" i="50"/>
  <c r="T74" i="50"/>
  <c r="T99" i="50" s="1"/>
  <c r="T66" i="50"/>
  <c r="T91" i="50" s="1"/>
  <c r="T71" i="50"/>
  <c r="T96" i="50" s="1"/>
  <c r="T63" i="50"/>
  <c r="T73" i="50"/>
  <c r="T98" i="50" s="1"/>
  <c r="T79" i="50"/>
  <c r="T104" i="50" s="1"/>
  <c r="T70" i="50"/>
  <c r="T95" i="50" s="1"/>
  <c r="T107" i="50"/>
  <c r="W37" i="50"/>
  <c r="W34" i="50" s="1"/>
  <c r="Q37" i="50"/>
  <c r="G65" i="50"/>
  <c r="G90" i="50" s="1"/>
  <c r="G73" i="50"/>
  <c r="V43" i="50"/>
  <c r="X86" i="41"/>
  <c r="X68" i="41" s="1"/>
  <c r="T86" i="41"/>
  <c r="T68" i="41" s="1"/>
  <c r="J37" i="50"/>
  <c r="M95" i="50"/>
  <c r="M63" i="50"/>
  <c r="M37" i="50"/>
  <c r="M96" i="50"/>
  <c r="K15" i="49"/>
  <c r="M106" i="50"/>
  <c r="N81" i="50"/>
  <c r="N60" i="50"/>
  <c r="N85" i="50" s="1"/>
  <c r="N61" i="50"/>
  <c r="N72" i="50"/>
  <c r="N70" i="50"/>
  <c r="N71" i="50"/>
  <c r="N80" i="50"/>
  <c r="N79" i="50"/>
  <c r="N73" i="50"/>
  <c r="N66" i="50"/>
  <c r="N74" i="50"/>
  <c r="H66" i="50"/>
  <c r="H72" i="50"/>
  <c r="U81" i="50"/>
  <c r="U69" i="50"/>
  <c r="U61" i="50"/>
  <c r="U65" i="50"/>
  <c r="V65" i="50" s="1"/>
  <c r="W65" i="50" s="1"/>
  <c r="X65" i="50" s="1"/>
  <c r="U72" i="50"/>
  <c r="U83" i="50"/>
  <c r="W86" i="41"/>
  <c r="W68" i="41" s="1"/>
  <c r="H19" i="49"/>
  <c r="V37" i="50"/>
  <c r="M19" i="49"/>
  <c r="H86" i="41"/>
  <c r="S86" i="41"/>
  <c r="S68" i="41" s="1"/>
  <c r="J43" i="50"/>
  <c r="M86" i="50"/>
  <c r="M91" i="50"/>
  <c r="M90" i="50"/>
  <c r="N65" i="50"/>
  <c r="N83" i="50"/>
  <c r="M108" i="50"/>
  <c r="M43" i="50"/>
  <c r="M69" i="50"/>
  <c r="M107" i="50"/>
  <c r="N82" i="50"/>
  <c r="O152" i="50"/>
  <c r="O172" i="50" s="1"/>
  <c r="H33" i="50"/>
  <c r="V32" i="50"/>
  <c r="V16" i="50"/>
  <c r="W15" i="50"/>
  <c r="V29" i="50"/>
  <c r="O161" i="50"/>
  <c r="N181" i="50"/>
  <c r="P32" i="50"/>
  <c r="G60" i="50"/>
  <c r="G85" i="50" s="1"/>
  <c r="P16" i="50"/>
  <c r="P20" i="50"/>
  <c r="P10" i="50"/>
  <c r="V19" i="50"/>
  <c r="U18" i="50"/>
  <c r="O169" i="50"/>
  <c r="H19" i="50"/>
  <c r="V30" i="50"/>
  <c r="X22" i="50"/>
  <c r="T9" i="50"/>
  <c r="S11" i="49" s="1"/>
  <c r="H11" i="50"/>
  <c r="V33" i="50"/>
  <c r="T85" i="50"/>
  <c r="V31" i="50"/>
  <c r="N151" i="50"/>
  <c r="M171" i="50"/>
  <c r="M150" i="50"/>
  <c r="H16" i="50"/>
  <c r="G91" i="50"/>
  <c r="N183" i="50"/>
  <c r="O163" i="50"/>
  <c r="P15" i="50"/>
  <c r="H10" i="50"/>
  <c r="V20" i="50"/>
  <c r="N184" i="50"/>
  <c r="O164" i="50"/>
  <c r="H20" i="50"/>
  <c r="G69" i="50"/>
  <c r="F68" i="50"/>
  <c r="P33" i="50"/>
  <c r="P11" i="50"/>
  <c r="O165" i="50"/>
  <c r="N185" i="50"/>
  <c r="N186" i="50"/>
  <c r="O166" i="50"/>
  <c r="V24" i="50"/>
  <c r="N187" i="50"/>
  <c r="O167" i="50"/>
  <c r="H21" i="50"/>
  <c r="V23" i="50"/>
  <c r="H32" i="50"/>
  <c r="O158" i="50"/>
  <c r="N178" i="50"/>
  <c r="P21" i="50"/>
  <c r="V21" i="50"/>
  <c r="V13" i="50"/>
  <c r="U12" i="50"/>
  <c r="N182" i="50"/>
  <c r="O162" i="50"/>
  <c r="F85" i="50"/>
  <c r="H15" i="50"/>
  <c r="G63" i="50"/>
  <c r="V10" i="50"/>
  <c r="V11" i="50"/>
  <c r="N180" i="50"/>
  <c r="O160" i="50"/>
  <c r="J158" i="50"/>
  <c r="P49" i="39"/>
  <c r="O49" i="39"/>
  <c r="N49" i="39"/>
  <c r="M49" i="39"/>
  <c r="L49" i="39"/>
  <c r="K49" i="39"/>
  <c r="J49" i="39"/>
  <c r="I49" i="39"/>
  <c r="H49" i="39"/>
  <c r="G49" i="39"/>
  <c r="F49" i="39"/>
  <c r="E49" i="39"/>
  <c r="D49" i="39"/>
  <c r="C49" i="39"/>
  <c r="P48" i="39"/>
  <c r="O48" i="39"/>
  <c r="N48" i="39"/>
  <c r="M48" i="39"/>
  <c r="L48" i="39"/>
  <c r="K48" i="39"/>
  <c r="J48" i="39"/>
  <c r="I48" i="39"/>
  <c r="H48" i="39"/>
  <c r="G48" i="39"/>
  <c r="F48" i="39"/>
  <c r="E48" i="39"/>
  <c r="D48" i="39"/>
  <c r="C48" i="39"/>
  <c r="P47" i="39"/>
  <c r="O47" i="39"/>
  <c r="O55" i="39" s="1"/>
  <c r="N47" i="39"/>
  <c r="M47" i="39"/>
  <c r="L47" i="39"/>
  <c r="K47" i="39"/>
  <c r="K55" i="39" s="1"/>
  <c r="I47" i="39"/>
  <c r="H47" i="39"/>
  <c r="G47" i="39"/>
  <c r="F47" i="39"/>
  <c r="E47" i="39"/>
  <c r="D47" i="39"/>
  <c r="C47" i="39"/>
  <c r="J47" i="39"/>
  <c r="I21" i="39"/>
  <c r="P21" i="39" s="1"/>
  <c r="W21" i="39" s="1"/>
  <c r="H21" i="39"/>
  <c r="O21" i="39" s="1"/>
  <c r="V21" i="39" s="1"/>
  <c r="G21" i="39"/>
  <c r="N21" i="39" s="1"/>
  <c r="U21" i="39" s="1"/>
  <c r="F21" i="39"/>
  <c r="M21" i="39" s="1"/>
  <c r="T21" i="39" s="1"/>
  <c r="E21" i="39"/>
  <c r="L21" i="39" s="1"/>
  <c r="S21" i="39" s="1"/>
  <c r="D21" i="39"/>
  <c r="D33" i="39" s="1"/>
  <c r="D46" i="39" s="1"/>
  <c r="K46" i="39" s="1"/>
  <c r="R46" i="39" s="1"/>
  <c r="C21" i="39"/>
  <c r="J21" i="39" s="1"/>
  <c r="Q21" i="39" s="1"/>
  <c r="Q20" i="7" l="1"/>
  <c r="D17" i="48"/>
  <c r="C21" i="7"/>
  <c r="B17" i="48"/>
  <c r="I21" i="7"/>
  <c r="E17" i="48"/>
  <c r="J55" i="39"/>
  <c r="F55" i="39"/>
  <c r="L55" i="39"/>
  <c r="P55" i="39"/>
  <c r="H14" i="50"/>
  <c r="I14" i="50" s="1"/>
  <c r="O20" i="7"/>
  <c r="K20" i="7"/>
  <c r="C55" i="39"/>
  <c r="D55" i="39"/>
  <c r="R55" i="39" s="1"/>
  <c r="H55" i="39"/>
  <c r="V55" i="39" s="1"/>
  <c r="M55" i="39"/>
  <c r="G55" i="39"/>
  <c r="E55" i="39"/>
  <c r="I55" i="39"/>
  <c r="N55" i="39"/>
  <c r="S49" i="39"/>
  <c r="W49" i="39"/>
  <c r="Q49" i="39"/>
  <c r="U20" i="7"/>
  <c r="I114" i="50"/>
  <c r="H174" i="50"/>
  <c r="X114" i="50"/>
  <c r="W174" i="50"/>
  <c r="P114" i="50"/>
  <c r="O174" i="50"/>
  <c r="E95" i="41"/>
  <c r="G12" i="50"/>
  <c r="G9" i="50" s="1"/>
  <c r="H17" i="50"/>
  <c r="G92" i="50"/>
  <c r="O17" i="50"/>
  <c r="N92" i="50"/>
  <c r="W17" i="50"/>
  <c r="V92" i="50"/>
  <c r="X14" i="50"/>
  <c r="W89" i="50"/>
  <c r="P14" i="50"/>
  <c r="O89" i="50"/>
  <c r="C17" i="7"/>
  <c r="C28" i="7" s="1"/>
  <c r="O26" i="50"/>
  <c r="N101" i="50"/>
  <c r="H119" i="50"/>
  <c r="G179" i="50"/>
  <c r="O119" i="50"/>
  <c r="N179" i="50"/>
  <c r="H25" i="50"/>
  <c r="G100" i="50"/>
  <c r="W25" i="50"/>
  <c r="V100" i="50"/>
  <c r="H22" i="50"/>
  <c r="H18" i="50" s="1"/>
  <c r="G97" i="50"/>
  <c r="G105" i="50"/>
  <c r="O23" i="50"/>
  <c r="N98" i="50"/>
  <c r="G98" i="50"/>
  <c r="O28" i="50"/>
  <c r="N103" i="50"/>
  <c r="H29" i="50"/>
  <c r="G104" i="50"/>
  <c r="W26" i="50"/>
  <c r="V101" i="50"/>
  <c r="H27" i="50"/>
  <c r="G102" i="50"/>
  <c r="W119" i="50"/>
  <c r="V179" i="50"/>
  <c r="O25" i="50"/>
  <c r="N100" i="50"/>
  <c r="H24" i="50"/>
  <c r="G99" i="50"/>
  <c r="W28" i="50"/>
  <c r="V103" i="50"/>
  <c r="O24" i="50"/>
  <c r="N99" i="50"/>
  <c r="H28" i="50"/>
  <c r="G103" i="50"/>
  <c r="O30" i="50"/>
  <c r="N105" i="50"/>
  <c r="O29" i="50"/>
  <c r="N104" i="50"/>
  <c r="O27" i="50"/>
  <c r="N102" i="50"/>
  <c r="H26" i="50"/>
  <c r="G101" i="50"/>
  <c r="W27" i="50"/>
  <c r="V102" i="50"/>
  <c r="O22" i="50"/>
  <c r="N97" i="50"/>
  <c r="G50" i="39"/>
  <c r="C50" i="39"/>
  <c r="J16" i="7"/>
  <c r="J12" i="7" s="1"/>
  <c r="J20" i="7" s="1"/>
  <c r="N16" i="7"/>
  <c r="N12" i="7" s="1"/>
  <c r="N20" i="7" s="1"/>
  <c r="L16" i="7"/>
  <c r="L12" i="7" s="1"/>
  <c r="V16" i="7"/>
  <c r="V12" i="7" s="1"/>
  <c r="V20" i="7" s="1"/>
  <c r="E19" i="49"/>
  <c r="G96" i="41"/>
  <c r="E8" i="7"/>
  <c r="F16" i="7"/>
  <c r="E15" i="48" s="1"/>
  <c r="X95" i="41"/>
  <c r="G18" i="7"/>
  <c r="V95" i="41"/>
  <c r="J95" i="41"/>
  <c r="H10" i="7"/>
  <c r="S10" i="7"/>
  <c r="L98" i="41"/>
  <c r="AA98" i="41" s="1"/>
  <c r="L8" i="7"/>
  <c r="G97" i="41"/>
  <c r="G16" i="7"/>
  <c r="G12" i="7" s="1"/>
  <c r="G20" i="7" s="1"/>
  <c r="Z95" i="41"/>
  <c r="W18" i="7"/>
  <c r="W21" i="7" s="1"/>
  <c r="I95" i="41"/>
  <c r="N10" i="7"/>
  <c r="I16" i="7"/>
  <c r="I12" i="7" s="1"/>
  <c r="I20" i="7" s="1"/>
  <c r="O95" i="41"/>
  <c r="E17" i="7"/>
  <c r="E16" i="7" s="1"/>
  <c r="E12" i="7" s="1"/>
  <c r="R95" i="41"/>
  <c r="H17" i="7"/>
  <c r="H95" i="41"/>
  <c r="F10" i="7"/>
  <c r="S16" i="7"/>
  <c r="S12" i="7" s="1"/>
  <c r="S20" i="7" s="1"/>
  <c r="S95" i="41"/>
  <c r="P17" i="7"/>
  <c r="P16" i="7" s="1"/>
  <c r="P12" i="7" s="1"/>
  <c r="P20" i="7" s="1"/>
  <c r="U95" i="41"/>
  <c r="R18" i="7"/>
  <c r="Y95" i="41"/>
  <c r="H18" i="7"/>
  <c r="I10" i="7"/>
  <c r="K95" i="41"/>
  <c r="L91" i="41"/>
  <c r="AA91" i="41" s="1"/>
  <c r="F95" i="41"/>
  <c r="D10" i="7"/>
  <c r="S48" i="39"/>
  <c r="W48" i="39"/>
  <c r="Q48" i="39"/>
  <c r="U48" i="39"/>
  <c r="N55" i="53"/>
  <c r="N27" i="7"/>
  <c r="U54" i="53"/>
  <c r="U25" i="7"/>
  <c r="U26" i="7" s="1"/>
  <c r="P55" i="53"/>
  <c r="P27" i="7"/>
  <c r="M12" i="7"/>
  <c r="M20" i="7" s="1"/>
  <c r="W95" i="41"/>
  <c r="T95" i="41"/>
  <c r="Q95" i="41"/>
  <c r="P95" i="41"/>
  <c r="G86" i="41"/>
  <c r="L86" i="41" s="1"/>
  <c r="H169" i="50"/>
  <c r="H150" i="50" s="1"/>
  <c r="L88" i="41"/>
  <c r="AA88" i="41" s="1"/>
  <c r="L19" i="49"/>
  <c r="L87" i="41"/>
  <c r="AA87" i="41" s="1"/>
  <c r="AA68" i="41"/>
  <c r="F170" i="50"/>
  <c r="H116" i="50"/>
  <c r="G176" i="50"/>
  <c r="H120" i="50"/>
  <c r="G180" i="50"/>
  <c r="H126" i="50"/>
  <c r="G186" i="50"/>
  <c r="H121" i="50"/>
  <c r="G181" i="50"/>
  <c r="H123" i="50"/>
  <c r="G183" i="50"/>
  <c r="H118" i="50"/>
  <c r="G178" i="50"/>
  <c r="H111" i="50"/>
  <c r="G171" i="50"/>
  <c r="H124" i="50"/>
  <c r="G184" i="50"/>
  <c r="H112" i="50"/>
  <c r="G172" i="50"/>
  <c r="H128" i="50"/>
  <c r="G188" i="50"/>
  <c r="H117" i="50"/>
  <c r="G177" i="50"/>
  <c r="H122" i="50"/>
  <c r="G182" i="50"/>
  <c r="H125" i="50"/>
  <c r="G185" i="50"/>
  <c r="H115" i="50"/>
  <c r="G175" i="50"/>
  <c r="H127" i="50"/>
  <c r="G187" i="50"/>
  <c r="H113" i="50"/>
  <c r="G173" i="50"/>
  <c r="E50" i="39"/>
  <c r="I50" i="39"/>
  <c r="U49" i="39"/>
  <c r="P50" i="39"/>
  <c r="W47" i="39"/>
  <c r="D50" i="39"/>
  <c r="H50" i="39"/>
  <c r="T47" i="39"/>
  <c r="M50" i="39"/>
  <c r="R48" i="39"/>
  <c r="V48" i="39"/>
  <c r="T49" i="39"/>
  <c r="L50" i="39"/>
  <c r="S47" i="39"/>
  <c r="U47" i="39"/>
  <c r="N50" i="39"/>
  <c r="Q47" i="39"/>
  <c r="J50" i="39"/>
  <c r="F50" i="39"/>
  <c r="K50" i="39"/>
  <c r="R47" i="39"/>
  <c r="O50" i="39"/>
  <c r="V47" i="39"/>
  <c r="T48" i="39"/>
  <c r="R49" i="39"/>
  <c r="V49" i="39"/>
  <c r="U170" i="50"/>
  <c r="J151" i="50"/>
  <c r="W163" i="50"/>
  <c r="V183" i="50"/>
  <c r="V184" i="50"/>
  <c r="W164" i="50"/>
  <c r="J164" i="50"/>
  <c r="J157" i="50"/>
  <c r="W158" i="50"/>
  <c r="V178" i="50"/>
  <c r="W160" i="50"/>
  <c r="V180" i="50"/>
  <c r="V177" i="50"/>
  <c r="W157" i="50"/>
  <c r="J165" i="50"/>
  <c r="J168" i="50"/>
  <c r="J162" i="50"/>
  <c r="J166" i="50"/>
  <c r="J152" i="50"/>
  <c r="J156" i="50"/>
  <c r="J155" i="50"/>
  <c r="J163" i="50"/>
  <c r="J153" i="50"/>
  <c r="W167" i="50"/>
  <c r="V187" i="50"/>
  <c r="W161" i="50"/>
  <c r="V181" i="50"/>
  <c r="J167" i="50"/>
  <c r="V171" i="50"/>
  <c r="W151" i="50"/>
  <c r="V176" i="50"/>
  <c r="W156" i="50"/>
  <c r="V175" i="50"/>
  <c r="W155" i="50"/>
  <c r="J161" i="50"/>
  <c r="J160" i="50"/>
  <c r="V173" i="50"/>
  <c r="W153" i="50"/>
  <c r="W162" i="50"/>
  <c r="V182" i="50"/>
  <c r="V172" i="50"/>
  <c r="W152" i="50"/>
  <c r="W166" i="50"/>
  <c r="V186" i="50"/>
  <c r="W165" i="50"/>
  <c r="V185" i="50"/>
  <c r="V188" i="50"/>
  <c r="W168" i="50"/>
  <c r="P153" i="50"/>
  <c r="O173" i="50"/>
  <c r="P168" i="50"/>
  <c r="O188" i="50"/>
  <c r="P156" i="50"/>
  <c r="O176" i="50"/>
  <c r="P155" i="50"/>
  <c r="O175" i="50"/>
  <c r="P157" i="50"/>
  <c r="O177" i="50"/>
  <c r="M170" i="50"/>
  <c r="W129" i="50"/>
  <c r="V110" i="50"/>
  <c r="F9" i="50"/>
  <c r="E11" i="49" s="1"/>
  <c r="H129" i="50"/>
  <c r="G110" i="50"/>
  <c r="G189" i="50"/>
  <c r="O129" i="50"/>
  <c r="O189" i="50" s="1"/>
  <c r="N110" i="50"/>
  <c r="E15" i="49"/>
  <c r="E12" i="49"/>
  <c r="T12" i="49"/>
  <c r="V81" i="50"/>
  <c r="T15" i="49" s="1"/>
  <c r="W169" i="50"/>
  <c r="V189" i="50"/>
  <c r="V150" i="50"/>
  <c r="H31" i="50"/>
  <c r="I31" i="50" s="1"/>
  <c r="L12" i="49"/>
  <c r="O31" i="50"/>
  <c r="G96" i="50"/>
  <c r="F93" i="50"/>
  <c r="N18" i="50"/>
  <c r="O19" i="50"/>
  <c r="M9" i="50"/>
  <c r="L11" i="49" s="1"/>
  <c r="O13" i="50"/>
  <c r="N12" i="50"/>
  <c r="G106" i="50"/>
  <c r="H81" i="50"/>
  <c r="H80" i="50"/>
  <c r="I80" i="50" s="1"/>
  <c r="J80" i="50" s="1"/>
  <c r="K80" i="50" s="1"/>
  <c r="P34" i="50"/>
  <c r="N25" i="7" s="1"/>
  <c r="N26" i="7" s="1"/>
  <c r="H83" i="50"/>
  <c r="I83" i="50" s="1"/>
  <c r="J83" i="50" s="1"/>
  <c r="K83" i="50" s="1"/>
  <c r="G34" i="50"/>
  <c r="H77" i="50"/>
  <c r="H82" i="50"/>
  <c r="I82" i="50" s="1"/>
  <c r="J82" i="50" s="1"/>
  <c r="K82" i="50" s="1"/>
  <c r="K34" i="50"/>
  <c r="I25" i="7" s="1"/>
  <c r="I26" i="7" s="1"/>
  <c r="U74" i="50"/>
  <c r="U99" i="50" s="1"/>
  <c r="U71" i="50"/>
  <c r="I66" i="50"/>
  <c r="J66" i="50" s="1"/>
  <c r="K66" i="50" s="1"/>
  <c r="F87" i="50"/>
  <c r="V90" i="50"/>
  <c r="V34" i="50"/>
  <c r="T25" i="7" s="1"/>
  <c r="T26" i="7" s="1"/>
  <c r="U73" i="50"/>
  <c r="V73" i="50" s="1"/>
  <c r="W73" i="50" s="1"/>
  <c r="X73" i="50" s="1"/>
  <c r="Y73" i="50" s="1"/>
  <c r="T43" i="50"/>
  <c r="T37" i="50"/>
  <c r="Q34" i="50"/>
  <c r="O25" i="7" s="1"/>
  <c r="O26" i="7" s="1"/>
  <c r="T93" i="50"/>
  <c r="X34" i="50"/>
  <c r="T62" i="50"/>
  <c r="T88" i="50"/>
  <c r="T87" i="50" s="1"/>
  <c r="U106" i="50"/>
  <c r="T68" i="50"/>
  <c r="S15" i="49"/>
  <c r="U70" i="50"/>
  <c r="V70" i="50" s="1"/>
  <c r="W70" i="50" s="1"/>
  <c r="X70" i="50" s="1"/>
  <c r="Y70" i="50" s="1"/>
  <c r="U82" i="50"/>
  <c r="V82" i="50" s="1"/>
  <c r="W82" i="50" s="1"/>
  <c r="P152" i="50"/>
  <c r="Q152" i="50" s="1"/>
  <c r="H79" i="50"/>
  <c r="I79" i="50" s="1"/>
  <c r="J79" i="50" s="1"/>
  <c r="K79" i="50" s="1"/>
  <c r="F34" i="50"/>
  <c r="H61" i="50"/>
  <c r="I61" i="50" s="1"/>
  <c r="J61" i="50" s="1"/>
  <c r="K61" i="50" s="1"/>
  <c r="H70" i="50"/>
  <c r="H95" i="50" s="1"/>
  <c r="I43" i="50"/>
  <c r="I37" i="50"/>
  <c r="H73" i="50"/>
  <c r="I73" i="50" s="1"/>
  <c r="J73" i="50" s="1"/>
  <c r="K73" i="50" s="1"/>
  <c r="H78" i="50"/>
  <c r="I78" i="50" s="1"/>
  <c r="J78" i="50" s="1"/>
  <c r="K78" i="50" s="1"/>
  <c r="U79" i="50"/>
  <c r="U66" i="50"/>
  <c r="V66" i="50" s="1"/>
  <c r="W66" i="50" s="1"/>
  <c r="X66" i="50" s="1"/>
  <c r="Y66" i="50" s="1"/>
  <c r="U63" i="50"/>
  <c r="U88" i="50" s="1"/>
  <c r="Y65" i="50"/>
  <c r="H65" i="50"/>
  <c r="I65" i="50" s="1"/>
  <c r="J65" i="50" s="1"/>
  <c r="K65" i="50" s="1"/>
  <c r="U90" i="50"/>
  <c r="O43" i="50"/>
  <c r="N43" i="50"/>
  <c r="V80" i="50"/>
  <c r="W80" i="50" s="1"/>
  <c r="X80" i="50" s="1"/>
  <c r="Y80" i="50" s="1"/>
  <c r="V72" i="50"/>
  <c r="U97" i="50"/>
  <c r="V61" i="50"/>
  <c r="W61" i="50" s="1"/>
  <c r="X61" i="50" s="1"/>
  <c r="Y61" i="50" s="1"/>
  <c r="U86" i="50"/>
  <c r="O71" i="50"/>
  <c r="N96" i="50"/>
  <c r="O72" i="50"/>
  <c r="V83" i="50"/>
  <c r="W83" i="50" s="1"/>
  <c r="X83" i="50" s="1"/>
  <c r="Y83" i="50" s="1"/>
  <c r="U108" i="50"/>
  <c r="O74" i="50"/>
  <c r="O80" i="50"/>
  <c r="O70" i="50"/>
  <c r="N95" i="50"/>
  <c r="L15" i="49"/>
  <c r="O81" i="50"/>
  <c r="N106" i="50"/>
  <c r="O82" i="50"/>
  <c r="N107" i="50"/>
  <c r="M68" i="50"/>
  <c r="M94" i="50"/>
  <c r="M93" i="50" s="1"/>
  <c r="N69" i="50"/>
  <c r="O65" i="50"/>
  <c r="N90" i="50"/>
  <c r="U37" i="50"/>
  <c r="H37" i="50"/>
  <c r="O60" i="50"/>
  <c r="M88" i="50"/>
  <c r="M87" i="50" s="1"/>
  <c r="N63" i="50"/>
  <c r="M62" i="50"/>
  <c r="J34" i="50"/>
  <c r="Y43" i="50"/>
  <c r="U60" i="50"/>
  <c r="O83" i="50"/>
  <c r="N108" i="50"/>
  <c r="O66" i="50"/>
  <c r="N91" i="50"/>
  <c r="O79" i="50"/>
  <c r="O73" i="50"/>
  <c r="O61" i="50"/>
  <c r="N86" i="50"/>
  <c r="U43" i="50"/>
  <c r="H43" i="50"/>
  <c r="O37" i="50"/>
  <c r="N37" i="50"/>
  <c r="M34" i="50"/>
  <c r="Y37" i="50"/>
  <c r="R43" i="50"/>
  <c r="R37" i="50"/>
  <c r="T279" i="50"/>
  <c r="R10" i="49"/>
  <c r="D10" i="49"/>
  <c r="V26" i="39"/>
  <c r="R26" i="39"/>
  <c r="T26" i="39"/>
  <c r="F59" i="50"/>
  <c r="E14" i="49" s="1"/>
  <c r="O180" i="50"/>
  <c r="P160" i="50"/>
  <c r="W24" i="50"/>
  <c r="H69" i="50"/>
  <c r="H94" i="50" s="1"/>
  <c r="G68" i="50"/>
  <c r="N171" i="50"/>
  <c r="O151" i="50"/>
  <c r="N150" i="50"/>
  <c r="W30" i="50"/>
  <c r="W105" i="50" s="1"/>
  <c r="V69" i="50"/>
  <c r="V94" i="50" s="1"/>
  <c r="Q16" i="50"/>
  <c r="I33" i="50"/>
  <c r="I23" i="50"/>
  <c r="I15" i="50"/>
  <c r="P162" i="50"/>
  <c r="O182" i="50"/>
  <c r="W13" i="50"/>
  <c r="V12" i="50"/>
  <c r="W21" i="50"/>
  <c r="P158" i="50"/>
  <c r="O178" i="50"/>
  <c r="W23" i="50"/>
  <c r="P167" i="50"/>
  <c r="O187" i="50"/>
  <c r="P166" i="50"/>
  <c r="O186" i="50"/>
  <c r="P165" i="50"/>
  <c r="O185" i="50"/>
  <c r="Q33" i="50"/>
  <c r="I20" i="50"/>
  <c r="W20" i="50"/>
  <c r="I10" i="50"/>
  <c r="P163" i="50"/>
  <c r="O183" i="50"/>
  <c r="I16" i="50"/>
  <c r="H91" i="50"/>
  <c r="W33" i="50"/>
  <c r="Y22" i="50"/>
  <c r="I19" i="50"/>
  <c r="U94" i="50"/>
  <c r="Q10" i="50"/>
  <c r="I13" i="50"/>
  <c r="H12" i="50"/>
  <c r="Q32" i="50"/>
  <c r="W10" i="50"/>
  <c r="W11" i="50"/>
  <c r="I72" i="50"/>
  <c r="O184" i="50"/>
  <c r="P164" i="50"/>
  <c r="I30" i="50"/>
  <c r="W31" i="50"/>
  <c r="P169" i="50"/>
  <c r="Q20" i="50"/>
  <c r="H60" i="50"/>
  <c r="W29" i="50"/>
  <c r="X15" i="50"/>
  <c r="W90" i="50"/>
  <c r="W16" i="50"/>
  <c r="W32" i="50"/>
  <c r="H63" i="50"/>
  <c r="G62" i="50"/>
  <c r="U9" i="50"/>
  <c r="T11" i="49" s="1"/>
  <c r="Q21" i="50"/>
  <c r="I32" i="50"/>
  <c r="I21" i="50"/>
  <c r="H96" i="50"/>
  <c r="Q11" i="50"/>
  <c r="Q15" i="50"/>
  <c r="I11" i="50"/>
  <c r="G94" i="50"/>
  <c r="W19" i="50"/>
  <c r="V18" i="50"/>
  <c r="G88" i="50"/>
  <c r="G87" i="50" s="1"/>
  <c r="P161" i="50"/>
  <c r="O181" i="50"/>
  <c r="K158" i="50"/>
  <c r="D59" i="39"/>
  <c r="H33" i="39"/>
  <c r="H46" i="39" s="1"/>
  <c r="K21" i="39"/>
  <c r="R21" i="39" s="1"/>
  <c r="K33" i="39"/>
  <c r="R33" i="39" s="1"/>
  <c r="E33" i="39"/>
  <c r="I33" i="39"/>
  <c r="F33" i="39"/>
  <c r="C33" i="39"/>
  <c r="G33" i="39"/>
  <c r="F15" i="21" l="1"/>
  <c r="C56" i="53"/>
  <c r="C53" i="53" s="1"/>
  <c r="D12" i="20" s="1"/>
  <c r="C32" i="7"/>
  <c r="H17" i="48"/>
  <c r="AA86" i="41"/>
  <c r="AH10" i="51"/>
  <c r="R21" i="7"/>
  <c r="C17" i="48"/>
  <c r="G21" i="7"/>
  <c r="F17" i="48"/>
  <c r="F15" i="48" s="1"/>
  <c r="H21" i="7"/>
  <c r="G17" i="48"/>
  <c r="S50" i="39"/>
  <c r="H89" i="50"/>
  <c r="L20" i="7"/>
  <c r="E20" i="7"/>
  <c r="K59" i="39"/>
  <c r="D65" i="39"/>
  <c r="U50" i="39"/>
  <c r="Y114" i="50"/>
  <c r="Y174" i="50" s="1"/>
  <c r="X174" i="50"/>
  <c r="Q114" i="50"/>
  <c r="P174" i="50"/>
  <c r="J114" i="50"/>
  <c r="I174" i="50"/>
  <c r="I98" i="50"/>
  <c r="N170" i="50"/>
  <c r="X17" i="50"/>
  <c r="W92" i="50"/>
  <c r="P17" i="50"/>
  <c r="O92" i="50"/>
  <c r="I17" i="50"/>
  <c r="H92" i="50"/>
  <c r="Q14" i="50"/>
  <c r="P89" i="50"/>
  <c r="J14" i="50"/>
  <c r="I89" i="50"/>
  <c r="Y14" i="50"/>
  <c r="Y89" i="50" s="1"/>
  <c r="X89" i="50"/>
  <c r="I105" i="50"/>
  <c r="F13" i="21"/>
  <c r="C16" i="7"/>
  <c r="C12" i="7" s="1"/>
  <c r="C20" i="7" s="1"/>
  <c r="Q55" i="39"/>
  <c r="P29" i="50"/>
  <c r="O104" i="50"/>
  <c r="P24" i="50"/>
  <c r="O99" i="50"/>
  <c r="X26" i="50"/>
  <c r="W101" i="50"/>
  <c r="P28" i="50"/>
  <c r="O103" i="50"/>
  <c r="X25" i="50"/>
  <c r="W100" i="50"/>
  <c r="V79" i="50"/>
  <c r="U104" i="50"/>
  <c r="X27" i="50"/>
  <c r="W102" i="50"/>
  <c r="P27" i="50"/>
  <c r="O102" i="50"/>
  <c r="X28" i="50"/>
  <c r="W103" i="50"/>
  <c r="P25" i="50"/>
  <c r="O100" i="50"/>
  <c r="I27" i="50"/>
  <c r="H102" i="50"/>
  <c r="P119" i="50"/>
  <c r="O179" i="50"/>
  <c r="P26" i="50"/>
  <c r="O101" i="50"/>
  <c r="P30" i="50"/>
  <c r="O105" i="50"/>
  <c r="I28" i="50"/>
  <c r="H103" i="50"/>
  <c r="V105" i="50"/>
  <c r="H98" i="50"/>
  <c r="I29" i="50"/>
  <c r="H104" i="50"/>
  <c r="I22" i="50"/>
  <c r="I18" i="50" s="1"/>
  <c r="H97" i="50"/>
  <c r="H93" i="50" s="1"/>
  <c r="P22" i="50"/>
  <c r="O97" i="50"/>
  <c r="I26" i="50"/>
  <c r="H101" i="50"/>
  <c r="H105" i="50"/>
  <c r="I24" i="50"/>
  <c r="H99" i="50"/>
  <c r="X119" i="50"/>
  <c r="W179" i="50"/>
  <c r="O98" i="50"/>
  <c r="P23" i="50"/>
  <c r="I25" i="50"/>
  <c r="H100" i="50"/>
  <c r="I119" i="50"/>
  <c r="H179" i="50"/>
  <c r="S55" i="39"/>
  <c r="Q50" i="39"/>
  <c r="D15" i="48"/>
  <c r="H16" i="7"/>
  <c r="F12" i="7"/>
  <c r="F20" i="7" s="1"/>
  <c r="R16" i="7"/>
  <c r="L97" i="41"/>
  <c r="AA97" i="41" s="1"/>
  <c r="L10" i="7"/>
  <c r="E10" i="7"/>
  <c r="L96" i="41"/>
  <c r="AA96" i="41" s="1"/>
  <c r="G95" i="41"/>
  <c r="L95" i="41" s="1"/>
  <c r="AA95" i="41" s="1"/>
  <c r="W16" i="7"/>
  <c r="T50" i="39"/>
  <c r="D25" i="7"/>
  <c r="D26" i="7" s="1"/>
  <c r="D54" i="53"/>
  <c r="K25" i="7"/>
  <c r="K26" i="7" s="1"/>
  <c r="K54" i="53"/>
  <c r="K53" i="53" s="1"/>
  <c r="E15" i="20" s="1"/>
  <c r="H54" i="53"/>
  <c r="H25" i="7"/>
  <c r="H26" i="7" s="1"/>
  <c r="V54" i="53"/>
  <c r="V25" i="7"/>
  <c r="V26" i="7" s="1"/>
  <c r="E54" i="53"/>
  <c r="E25" i="7"/>
  <c r="E26" i="7" s="1"/>
  <c r="I169" i="50"/>
  <c r="J169" i="50" s="1"/>
  <c r="H189" i="50"/>
  <c r="G170" i="50"/>
  <c r="I127" i="50"/>
  <c r="H187" i="50"/>
  <c r="I125" i="50"/>
  <c r="H185" i="50"/>
  <c r="I117" i="50"/>
  <c r="H177" i="50"/>
  <c r="I112" i="50"/>
  <c r="H172" i="50"/>
  <c r="I111" i="50"/>
  <c r="H171" i="50"/>
  <c r="I123" i="50"/>
  <c r="H183" i="50"/>
  <c r="I126" i="50"/>
  <c r="H186" i="50"/>
  <c r="I116" i="50"/>
  <c r="H176" i="50"/>
  <c r="I113" i="50"/>
  <c r="H173" i="50"/>
  <c r="I115" i="50"/>
  <c r="H175" i="50"/>
  <c r="I122" i="50"/>
  <c r="H182" i="50"/>
  <c r="I128" i="50"/>
  <c r="H188" i="50"/>
  <c r="I124" i="50"/>
  <c r="H184" i="50"/>
  <c r="I118" i="50"/>
  <c r="H178" i="50"/>
  <c r="I121" i="50"/>
  <c r="H181" i="50"/>
  <c r="I120" i="50"/>
  <c r="H180" i="50"/>
  <c r="V170" i="50"/>
  <c r="R50" i="39"/>
  <c r="W50" i="39"/>
  <c r="U55" i="39"/>
  <c r="W55" i="39"/>
  <c r="T55" i="39"/>
  <c r="V50" i="39"/>
  <c r="X168" i="50"/>
  <c r="W188" i="50"/>
  <c r="W172" i="50"/>
  <c r="X152" i="50"/>
  <c r="X153" i="50"/>
  <c r="W173" i="50"/>
  <c r="K160" i="50"/>
  <c r="X155" i="50"/>
  <c r="W175" i="50"/>
  <c r="X156" i="50"/>
  <c r="W176" i="50"/>
  <c r="W171" i="50"/>
  <c r="X151" i="50"/>
  <c r="X157" i="50"/>
  <c r="W177" i="50"/>
  <c r="W184" i="50"/>
  <c r="X164" i="50"/>
  <c r="K151" i="50"/>
  <c r="X165" i="50"/>
  <c r="W185" i="50"/>
  <c r="X166" i="50"/>
  <c r="W186" i="50"/>
  <c r="X162" i="50"/>
  <c r="W182" i="50"/>
  <c r="K161" i="50"/>
  <c r="K167" i="50"/>
  <c r="X161" i="50"/>
  <c r="W181" i="50"/>
  <c r="X167" i="50"/>
  <c r="W187" i="50"/>
  <c r="K153" i="50"/>
  <c r="K163" i="50"/>
  <c r="K155" i="50"/>
  <c r="K156" i="50"/>
  <c r="K152" i="50"/>
  <c r="K166" i="50"/>
  <c r="K162" i="50"/>
  <c r="K168" i="50"/>
  <c r="K165" i="50"/>
  <c r="W180" i="50"/>
  <c r="X160" i="50"/>
  <c r="W178" i="50"/>
  <c r="X158" i="50"/>
  <c r="K157" i="50"/>
  <c r="K164" i="50"/>
  <c r="X163" i="50"/>
  <c r="W183" i="50"/>
  <c r="Q155" i="50"/>
  <c r="P175" i="50"/>
  <c r="Q168" i="50"/>
  <c r="P188" i="50"/>
  <c r="Q157" i="50"/>
  <c r="P177" i="50"/>
  <c r="Q156" i="50"/>
  <c r="P176" i="50"/>
  <c r="Q153" i="50"/>
  <c r="P173" i="50"/>
  <c r="F11" i="49"/>
  <c r="F279" i="50"/>
  <c r="P129" i="50"/>
  <c r="P189" i="50" s="1"/>
  <c r="O110" i="50"/>
  <c r="I129" i="50"/>
  <c r="H110" i="50"/>
  <c r="F84" i="50"/>
  <c r="F282" i="50" s="1"/>
  <c r="X129" i="50"/>
  <c r="W110" i="50"/>
  <c r="V106" i="50"/>
  <c r="W81" i="50"/>
  <c r="X81" i="50" s="1"/>
  <c r="G12" i="49"/>
  <c r="U12" i="49"/>
  <c r="X169" i="50"/>
  <c r="W189" i="50"/>
  <c r="W150" i="50"/>
  <c r="F15" i="49"/>
  <c r="F12" i="49"/>
  <c r="T54" i="53"/>
  <c r="U96" i="50"/>
  <c r="V71" i="50"/>
  <c r="W71" i="50" s="1"/>
  <c r="X71" i="50" s="1"/>
  <c r="Y71" i="50" s="1"/>
  <c r="Q280" i="50"/>
  <c r="O54" i="53"/>
  <c r="O53" i="53" s="1"/>
  <c r="I15" i="20" s="1"/>
  <c r="P280" i="50"/>
  <c r="N54" i="53"/>
  <c r="N53" i="53" s="1"/>
  <c r="H15" i="20" s="1"/>
  <c r="I54" i="53"/>
  <c r="N9" i="50"/>
  <c r="M11" i="49" s="1"/>
  <c r="P172" i="50"/>
  <c r="M12" i="49"/>
  <c r="P31" i="50"/>
  <c r="G93" i="50"/>
  <c r="G84" i="50" s="1"/>
  <c r="O12" i="50"/>
  <c r="P13" i="50"/>
  <c r="O18" i="50"/>
  <c r="P19" i="50"/>
  <c r="H106" i="50"/>
  <c r="I81" i="50"/>
  <c r="G15" i="49" s="1"/>
  <c r="M279" i="50"/>
  <c r="K10" i="49"/>
  <c r="V98" i="50"/>
  <c r="I70" i="50"/>
  <c r="J70" i="50" s="1"/>
  <c r="K70" i="50" s="1"/>
  <c r="I77" i="50"/>
  <c r="J77" i="50" s="1"/>
  <c r="K77" i="50" s="1"/>
  <c r="G280" i="50"/>
  <c r="V63" i="50"/>
  <c r="V88" i="50" s="1"/>
  <c r="H108" i="50"/>
  <c r="M59" i="50"/>
  <c r="L14" i="49" s="1"/>
  <c r="U107" i="50"/>
  <c r="U91" i="50"/>
  <c r="V74" i="50"/>
  <c r="U95" i="50"/>
  <c r="T84" i="50"/>
  <c r="T34" i="50"/>
  <c r="U68" i="50"/>
  <c r="U62" i="50"/>
  <c r="U98" i="50"/>
  <c r="T59" i="50"/>
  <c r="S14" i="49" s="1"/>
  <c r="H86" i="50"/>
  <c r="H107" i="50"/>
  <c r="K280" i="50"/>
  <c r="Y34" i="50"/>
  <c r="W25" i="7" s="1"/>
  <c r="W26" i="7" s="1"/>
  <c r="X82" i="50"/>
  <c r="Y82" i="50" s="1"/>
  <c r="V107" i="50"/>
  <c r="V91" i="50"/>
  <c r="F280" i="50"/>
  <c r="I34" i="50"/>
  <c r="G25" i="7" s="1"/>
  <c r="G26" i="7" s="1"/>
  <c r="H34" i="50"/>
  <c r="H90" i="50"/>
  <c r="V108" i="50"/>
  <c r="V86" i="50"/>
  <c r="N34" i="50"/>
  <c r="M84" i="50"/>
  <c r="V95" i="50"/>
  <c r="O34" i="50"/>
  <c r="R34" i="50"/>
  <c r="U34" i="50"/>
  <c r="M280" i="50"/>
  <c r="P79" i="50"/>
  <c r="J280" i="50"/>
  <c r="N88" i="50"/>
  <c r="N87" i="50" s="1"/>
  <c r="N62" i="50"/>
  <c r="O63" i="50"/>
  <c r="P60" i="50"/>
  <c r="O85" i="50"/>
  <c r="P65" i="50"/>
  <c r="O90" i="50"/>
  <c r="P70" i="50"/>
  <c r="O95" i="50"/>
  <c r="P74" i="50"/>
  <c r="P71" i="50"/>
  <c r="O96" i="50"/>
  <c r="P61" i="50"/>
  <c r="O86" i="50"/>
  <c r="P73" i="50"/>
  <c r="P66" i="50"/>
  <c r="O91" i="50"/>
  <c r="P83" i="50"/>
  <c r="O108" i="50"/>
  <c r="V60" i="50"/>
  <c r="U85" i="50"/>
  <c r="N68" i="50"/>
  <c r="O69" i="50"/>
  <c r="N94" i="50"/>
  <c r="N93" i="50" s="1"/>
  <c r="P82" i="50"/>
  <c r="P107" i="50" s="1"/>
  <c r="O107" i="50"/>
  <c r="M15" i="49"/>
  <c r="P81" i="50"/>
  <c r="O106" i="50"/>
  <c r="P80" i="50"/>
  <c r="P72" i="50"/>
  <c r="V97" i="50"/>
  <c r="W72" i="50"/>
  <c r="U279" i="50"/>
  <c r="S10" i="49"/>
  <c r="S26" i="39"/>
  <c r="U26" i="39"/>
  <c r="W26" i="39"/>
  <c r="F281" i="50"/>
  <c r="D13" i="49"/>
  <c r="G279" i="50"/>
  <c r="E10" i="49"/>
  <c r="G59" i="50"/>
  <c r="F14" i="49" s="1"/>
  <c r="V9" i="50"/>
  <c r="U11" i="49" s="1"/>
  <c r="P181" i="50"/>
  <c r="Q161" i="50"/>
  <c r="J11" i="50"/>
  <c r="I86" i="50"/>
  <c r="J21" i="50"/>
  <c r="I96" i="50"/>
  <c r="R20" i="50"/>
  <c r="Q169" i="50"/>
  <c r="J72" i="50"/>
  <c r="R33" i="50"/>
  <c r="Q166" i="50"/>
  <c r="P186" i="50"/>
  <c r="R15" i="50"/>
  <c r="R32" i="50"/>
  <c r="J23" i="50"/>
  <c r="J98" i="50" s="1"/>
  <c r="I69" i="50"/>
  <c r="H68" i="50"/>
  <c r="J32" i="50"/>
  <c r="I107" i="50"/>
  <c r="J31" i="50"/>
  <c r="I63" i="50"/>
  <c r="H62" i="50"/>
  <c r="X32" i="50"/>
  <c r="Y15" i="50"/>
  <c r="Y90" i="50" s="1"/>
  <c r="X90" i="50"/>
  <c r="I60" i="50"/>
  <c r="X31" i="50"/>
  <c r="J30" i="50"/>
  <c r="J105" i="50" s="1"/>
  <c r="Q164" i="50"/>
  <c r="P184" i="50"/>
  <c r="H88" i="50"/>
  <c r="R10" i="50"/>
  <c r="J19" i="50"/>
  <c r="X33" i="50"/>
  <c r="W108" i="50"/>
  <c r="H85" i="50"/>
  <c r="Q165" i="50"/>
  <c r="P185" i="50"/>
  <c r="Q167" i="50"/>
  <c r="P187" i="50"/>
  <c r="P178" i="50"/>
  <c r="Q158" i="50"/>
  <c r="X21" i="50"/>
  <c r="R16" i="50"/>
  <c r="W69" i="50"/>
  <c r="W94" i="50" s="1"/>
  <c r="X19" i="50"/>
  <c r="W18" i="50"/>
  <c r="R11" i="50"/>
  <c r="X16" i="50"/>
  <c r="W91" i="50"/>
  <c r="X29" i="50"/>
  <c r="J13" i="50"/>
  <c r="I12" i="50"/>
  <c r="J16" i="50"/>
  <c r="I91" i="50"/>
  <c r="P183" i="50"/>
  <c r="Q163" i="50"/>
  <c r="X23" i="50"/>
  <c r="W98" i="50"/>
  <c r="P151" i="50"/>
  <c r="O171" i="50"/>
  <c r="O150" i="50"/>
  <c r="X10" i="50"/>
  <c r="X20" i="50"/>
  <c r="W95" i="50"/>
  <c r="Q162" i="50"/>
  <c r="P182" i="50"/>
  <c r="X30" i="50"/>
  <c r="X105" i="50" s="1"/>
  <c r="Q160" i="50"/>
  <c r="P180" i="50"/>
  <c r="R152" i="50"/>
  <c r="R172" i="50" s="1"/>
  <c r="Q172" i="50"/>
  <c r="R21" i="50"/>
  <c r="X11" i="50"/>
  <c r="W86" i="50"/>
  <c r="H9" i="50"/>
  <c r="J10" i="50"/>
  <c r="J20" i="50"/>
  <c r="X13" i="50"/>
  <c r="W12" i="50"/>
  <c r="J15" i="50"/>
  <c r="I90" i="50"/>
  <c r="J33" i="50"/>
  <c r="I108" i="50"/>
  <c r="X24" i="50"/>
  <c r="O46" i="39"/>
  <c r="V46" i="39" s="1"/>
  <c r="H59" i="39"/>
  <c r="O33" i="39"/>
  <c r="V33" i="39" s="1"/>
  <c r="M33" i="39"/>
  <c r="T33" i="39" s="1"/>
  <c r="F46" i="39"/>
  <c r="G46" i="39"/>
  <c r="N33" i="39"/>
  <c r="U33" i="39" s="1"/>
  <c r="I46" i="39"/>
  <c r="P33" i="39"/>
  <c r="W33" i="39" s="1"/>
  <c r="J33" i="39"/>
  <c r="Q33" i="39" s="1"/>
  <c r="C46" i="39"/>
  <c r="E46" i="39"/>
  <c r="L33" i="39"/>
  <c r="S33" i="39" s="1"/>
  <c r="G15" i="21" l="1"/>
  <c r="F284" i="50"/>
  <c r="O59" i="39"/>
  <c r="H65" i="39"/>
  <c r="R114" i="50"/>
  <c r="R174" i="50" s="1"/>
  <c r="Q174" i="50"/>
  <c r="K114" i="50"/>
  <c r="K174" i="50" s="1"/>
  <c r="J174" i="50"/>
  <c r="B15" i="48"/>
  <c r="B45" i="48" s="1"/>
  <c r="B47" i="48" s="1"/>
  <c r="C46" i="48" s="1"/>
  <c r="J17" i="50"/>
  <c r="I92" i="50"/>
  <c r="Q17" i="50"/>
  <c r="P92" i="50"/>
  <c r="Y17" i="50"/>
  <c r="Y92" i="50" s="1"/>
  <c r="X92" i="50"/>
  <c r="K14" i="50"/>
  <c r="K89" i="50" s="1"/>
  <c r="J89" i="50"/>
  <c r="R14" i="50"/>
  <c r="R89" i="50" s="1"/>
  <c r="Q89" i="50"/>
  <c r="O170" i="50"/>
  <c r="G13" i="21"/>
  <c r="J119" i="50"/>
  <c r="I179" i="50"/>
  <c r="J24" i="50"/>
  <c r="I99" i="50"/>
  <c r="P97" i="50"/>
  <c r="Q22" i="50"/>
  <c r="J22" i="50"/>
  <c r="J18" i="50" s="1"/>
  <c r="I97" i="50"/>
  <c r="P105" i="50"/>
  <c r="Q30" i="50"/>
  <c r="Q119" i="50"/>
  <c r="P179" i="50"/>
  <c r="Q25" i="50"/>
  <c r="P100" i="50"/>
  <c r="Q27" i="50"/>
  <c r="P102" i="50"/>
  <c r="W79" i="50"/>
  <c r="V104" i="50"/>
  <c r="Q28" i="50"/>
  <c r="P103" i="50"/>
  <c r="Q24" i="50"/>
  <c r="P99" i="50"/>
  <c r="W74" i="50"/>
  <c r="V99" i="50"/>
  <c r="J25" i="50"/>
  <c r="I100" i="50"/>
  <c r="Y119" i="50"/>
  <c r="Y179" i="50" s="1"/>
  <c r="X179" i="50"/>
  <c r="P98" i="50"/>
  <c r="Q23" i="50"/>
  <c r="J26" i="50"/>
  <c r="I101" i="50"/>
  <c r="J29" i="50"/>
  <c r="I104" i="50"/>
  <c r="J28" i="50"/>
  <c r="I103" i="50"/>
  <c r="Q26" i="50"/>
  <c r="P101" i="50"/>
  <c r="J27" i="50"/>
  <c r="I102" i="50"/>
  <c r="Y28" i="50"/>
  <c r="Y103" i="50" s="1"/>
  <c r="X103" i="50"/>
  <c r="Y27" i="50"/>
  <c r="Y102" i="50" s="1"/>
  <c r="X102" i="50"/>
  <c r="Y25" i="50"/>
  <c r="Y100" i="50" s="1"/>
  <c r="X100" i="50"/>
  <c r="Y26" i="50"/>
  <c r="Y101" i="50" s="1"/>
  <c r="X101" i="50"/>
  <c r="Q29" i="50"/>
  <c r="P104" i="50"/>
  <c r="G15" i="48"/>
  <c r="H12" i="7"/>
  <c r="H20" i="7" s="1"/>
  <c r="W12" i="7"/>
  <c r="W20" i="7" s="1"/>
  <c r="H15" i="48"/>
  <c r="C15" i="48"/>
  <c r="C7" i="48" s="1"/>
  <c r="R12" i="7"/>
  <c r="R20" i="7" s="1"/>
  <c r="L54" i="53"/>
  <c r="L53" i="53" s="1"/>
  <c r="F15" i="20" s="1"/>
  <c r="L25" i="7"/>
  <c r="L26" i="7" s="1"/>
  <c r="F54" i="53"/>
  <c r="F25" i="7"/>
  <c r="F26" i="7" s="1"/>
  <c r="I150" i="50"/>
  <c r="P54" i="53"/>
  <c r="P53" i="53" s="1"/>
  <c r="J15" i="20" s="1"/>
  <c r="P25" i="7"/>
  <c r="P26" i="7" s="1"/>
  <c r="M54" i="53"/>
  <c r="M53" i="53" s="1"/>
  <c r="G15" i="20" s="1"/>
  <c r="M25" i="7"/>
  <c r="M26" i="7" s="1"/>
  <c r="R25" i="7"/>
  <c r="R26" i="7" s="1"/>
  <c r="R54" i="53"/>
  <c r="S54" i="53"/>
  <c r="S25" i="7"/>
  <c r="S26" i="7" s="1"/>
  <c r="I189" i="50"/>
  <c r="G282" i="50"/>
  <c r="H170" i="50"/>
  <c r="J121" i="50"/>
  <c r="I181" i="50"/>
  <c r="J124" i="50"/>
  <c r="I184" i="50"/>
  <c r="J122" i="50"/>
  <c r="I182" i="50"/>
  <c r="J113" i="50"/>
  <c r="I173" i="50"/>
  <c r="J126" i="50"/>
  <c r="I186" i="50"/>
  <c r="J111" i="50"/>
  <c r="I171" i="50"/>
  <c r="J117" i="50"/>
  <c r="I177" i="50"/>
  <c r="J127" i="50"/>
  <c r="I187" i="50"/>
  <c r="W170" i="50"/>
  <c r="J120" i="50"/>
  <c r="I180" i="50"/>
  <c r="J118" i="50"/>
  <c r="I178" i="50"/>
  <c r="J128" i="50"/>
  <c r="I188" i="50"/>
  <c r="J115" i="50"/>
  <c r="I175" i="50"/>
  <c r="J116" i="50"/>
  <c r="I176" i="50"/>
  <c r="J123" i="50"/>
  <c r="I183" i="50"/>
  <c r="J112" i="50"/>
  <c r="I172" i="50"/>
  <c r="J125" i="50"/>
  <c r="I185" i="50"/>
  <c r="X178" i="50"/>
  <c r="Y158" i="50"/>
  <c r="Y178" i="50" s="1"/>
  <c r="Y160" i="50"/>
  <c r="Y180" i="50" s="1"/>
  <c r="X180" i="50"/>
  <c r="Y164" i="50"/>
  <c r="Y184" i="50" s="1"/>
  <c r="X184" i="50"/>
  <c r="Y151" i="50"/>
  <c r="Y171" i="50" s="1"/>
  <c r="X171" i="50"/>
  <c r="Y152" i="50"/>
  <c r="Y172" i="50" s="1"/>
  <c r="X172" i="50"/>
  <c r="Y163" i="50"/>
  <c r="Y183" i="50" s="1"/>
  <c r="X183" i="50"/>
  <c r="Y167" i="50"/>
  <c r="Y187" i="50" s="1"/>
  <c r="X187" i="50"/>
  <c r="Y161" i="50"/>
  <c r="Y181" i="50" s="1"/>
  <c r="X181" i="50"/>
  <c r="Y162" i="50"/>
  <c r="Y182" i="50" s="1"/>
  <c r="X182" i="50"/>
  <c r="Y166" i="50"/>
  <c r="Y186" i="50" s="1"/>
  <c r="X186" i="50"/>
  <c r="Y165" i="50"/>
  <c r="Y185" i="50" s="1"/>
  <c r="X185" i="50"/>
  <c r="Y157" i="50"/>
  <c r="Y177" i="50" s="1"/>
  <c r="X177" i="50"/>
  <c r="X176" i="50"/>
  <c r="Y156" i="50"/>
  <c r="Y176" i="50" s="1"/>
  <c r="X175" i="50"/>
  <c r="Y155" i="50"/>
  <c r="Y175" i="50" s="1"/>
  <c r="X173" i="50"/>
  <c r="Y153" i="50"/>
  <c r="Y173" i="50" s="1"/>
  <c r="X188" i="50"/>
  <c r="Y168" i="50"/>
  <c r="Y188" i="50" s="1"/>
  <c r="R156" i="50"/>
  <c r="R176" i="50" s="1"/>
  <c r="Q176" i="50"/>
  <c r="R168" i="50"/>
  <c r="R188" i="50" s="1"/>
  <c r="Q188" i="50"/>
  <c r="R153" i="50"/>
  <c r="R173" i="50" s="1"/>
  <c r="Q173" i="50"/>
  <c r="Q177" i="50"/>
  <c r="R157" i="50"/>
  <c r="R177" i="50" s="1"/>
  <c r="R155" i="50"/>
  <c r="R175" i="50" s="1"/>
  <c r="Q175" i="50"/>
  <c r="G11" i="49"/>
  <c r="I95" i="50"/>
  <c r="H87" i="50"/>
  <c r="H84" i="50" s="1"/>
  <c r="U93" i="50"/>
  <c r="Y129" i="50"/>
  <c r="X110" i="50"/>
  <c r="J129" i="50"/>
  <c r="J189" i="50" s="1"/>
  <c r="I110" i="50"/>
  <c r="Q129" i="50"/>
  <c r="Q189" i="50" s="1"/>
  <c r="P110" i="50"/>
  <c r="W106" i="50"/>
  <c r="U15" i="49"/>
  <c r="H12" i="49"/>
  <c r="K169" i="50"/>
  <c r="J150" i="50"/>
  <c r="V12" i="49"/>
  <c r="J81" i="50"/>
  <c r="J106" i="50" s="1"/>
  <c r="N279" i="50"/>
  <c r="Y169" i="50"/>
  <c r="X189" i="50"/>
  <c r="X150" i="50"/>
  <c r="W54" i="53"/>
  <c r="I280" i="50"/>
  <c r="G54" i="53"/>
  <c r="L10" i="49"/>
  <c r="I106" i="50"/>
  <c r="N12" i="49"/>
  <c r="Q31" i="50"/>
  <c r="V87" i="50"/>
  <c r="V62" i="50"/>
  <c r="P12" i="50"/>
  <c r="Q13" i="50"/>
  <c r="O9" i="50"/>
  <c r="N11" i="49" s="1"/>
  <c r="Q19" i="50"/>
  <c r="P18" i="50"/>
  <c r="W63" i="50"/>
  <c r="W88" i="50" s="1"/>
  <c r="W87" i="50" s="1"/>
  <c r="R13" i="49"/>
  <c r="U87" i="50"/>
  <c r="M281" i="50"/>
  <c r="K13" i="49"/>
  <c r="U59" i="50"/>
  <c r="T14" i="49" s="1"/>
  <c r="N280" i="50"/>
  <c r="V68" i="50"/>
  <c r="W96" i="50"/>
  <c r="W107" i="50"/>
  <c r="V96" i="50"/>
  <c r="V93" i="50" s="1"/>
  <c r="W9" i="50"/>
  <c r="V11" i="49" s="1"/>
  <c r="H280" i="50"/>
  <c r="O280" i="50"/>
  <c r="R280" i="50"/>
  <c r="M282" i="50"/>
  <c r="Q72" i="50"/>
  <c r="Q80" i="50"/>
  <c r="Q81" i="50"/>
  <c r="N15" i="49"/>
  <c r="P106" i="50"/>
  <c r="W60" i="50"/>
  <c r="V85" i="50"/>
  <c r="Q83" i="50"/>
  <c r="P108" i="50"/>
  <c r="Q66" i="50"/>
  <c r="P91" i="50"/>
  <c r="Q73" i="50"/>
  <c r="Q61" i="50"/>
  <c r="P86" i="50"/>
  <c r="O88" i="50"/>
  <c r="O87" i="50" s="1"/>
  <c r="P63" i="50"/>
  <c r="O62" i="50"/>
  <c r="N84" i="50"/>
  <c r="N282" i="50" s="1"/>
  <c r="Q79" i="50"/>
  <c r="X72" i="50"/>
  <c r="W97" i="50"/>
  <c r="Q82" i="50"/>
  <c r="O68" i="50"/>
  <c r="O94" i="50"/>
  <c r="O93" i="50" s="1"/>
  <c r="P69" i="50"/>
  <c r="Q71" i="50"/>
  <c r="P96" i="50"/>
  <c r="Q74" i="50"/>
  <c r="Q70" i="50"/>
  <c r="P95" i="50"/>
  <c r="Q65" i="50"/>
  <c r="P90" i="50"/>
  <c r="Q60" i="50"/>
  <c r="P85" i="50"/>
  <c r="N59" i="50"/>
  <c r="M14" i="49" s="1"/>
  <c r="Y81" i="50"/>
  <c r="W15" i="49" s="1"/>
  <c r="V15" i="49"/>
  <c r="V279" i="50"/>
  <c r="T10" i="49"/>
  <c r="H279" i="50"/>
  <c r="F10" i="49"/>
  <c r="G281" i="50"/>
  <c r="E13" i="49"/>
  <c r="H59" i="50"/>
  <c r="G14" i="49" s="1"/>
  <c r="I9" i="50"/>
  <c r="Y13" i="50"/>
  <c r="X12" i="50"/>
  <c r="Y23" i="50"/>
  <c r="Y98" i="50" s="1"/>
  <c r="X98" i="50"/>
  <c r="K16" i="50"/>
  <c r="K91" i="50" s="1"/>
  <c r="J91" i="50"/>
  <c r="Y19" i="50"/>
  <c r="X18" i="50"/>
  <c r="R165" i="50"/>
  <c r="R185" i="50" s="1"/>
  <c r="Q185" i="50"/>
  <c r="K30" i="50"/>
  <c r="K105" i="50" s="1"/>
  <c r="K31" i="50"/>
  <c r="J69" i="50"/>
  <c r="J94" i="50" s="1"/>
  <c r="I68" i="50"/>
  <c r="K23" i="50"/>
  <c r="K98" i="50" s="1"/>
  <c r="R169" i="50"/>
  <c r="K21" i="50"/>
  <c r="K96" i="50" s="1"/>
  <c r="J96" i="50"/>
  <c r="K11" i="50"/>
  <c r="K86" i="50" s="1"/>
  <c r="J86" i="50"/>
  <c r="K15" i="50"/>
  <c r="K90" i="50" s="1"/>
  <c r="J90" i="50"/>
  <c r="Y11" i="50"/>
  <c r="Y86" i="50" s="1"/>
  <c r="X86" i="50"/>
  <c r="Y20" i="50"/>
  <c r="Y95" i="50" s="1"/>
  <c r="X95" i="50"/>
  <c r="R163" i="50"/>
  <c r="R183" i="50" s="1"/>
  <c r="Q183" i="50"/>
  <c r="K13" i="50"/>
  <c r="J12" i="50"/>
  <c r="Y16" i="50"/>
  <c r="Y91" i="50" s="1"/>
  <c r="X91" i="50"/>
  <c r="K19" i="50"/>
  <c r="R161" i="50"/>
  <c r="R181" i="50" s="1"/>
  <c r="Q181" i="50"/>
  <c r="K10" i="50"/>
  <c r="Y24" i="50"/>
  <c r="K20" i="50"/>
  <c r="K95" i="50" s="1"/>
  <c r="J95" i="50"/>
  <c r="R160" i="50"/>
  <c r="R180" i="50" s="1"/>
  <c r="Q180" i="50"/>
  <c r="Y30" i="50"/>
  <c r="Y105" i="50" s="1"/>
  <c r="R162" i="50"/>
  <c r="R182" i="50" s="1"/>
  <c r="Q182" i="50"/>
  <c r="P171" i="50"/>
  <c r="Q151" i="50"/>
  <c r="P150" i="50"/>
  <c r="W68" i="50"/>
  <c r="X69" i="50"/>
  <c r="X94" i="50" s="1"/>
  <c r="Y21" i="50"/>
  <c r="Y96" i="50" s="1"/>
  <c r="X96" i="50"/>
  <c r="Q187" i="50"/>
  <c r="R167" i="50"/>
  <c r="R187" i="50" s="1"/>
  <c r="Y33" i="50"/>
  <c r="Y108" i="50" s="1"/>
  <c r="X108" i="50"/>
  <c r="R164" i="50"/>
  <c r="R184" i="50" s="1"/>
  <c r="Q184" i="50"/>
  <c r="Y31" i="50"/>
  <c r="X106" i="50"/>
  <c r="J60" i="50"/>
  <c r="Y32" i="50"/>
  <c r="Y107" i="50" s="1"/>
  <c r="X107" i="50"/>
  <c r="I62" i="50"/>
  <c r="J63" i="50"/>
  <c r="K32" i="50"/>
  <c r="K107" i="50" s="1"/>
  <c r="J107" i="50"/>
  <c r="K72" i="50"/>
  <c r="K33" i="50"/>
  <c r="K108" i="50" s="1"/>
  <c r="J108" i="50"/>
  <c r="I85" i="50"/>
  <c r="Y10" i="50"/>
  <c r="I88" i="50"/>
  <c r="I87" i="50" s="1"/>
  <c r="Y29" i="50"/>
  <c r="Q178" i="50"/>
  <c r="R158" i="50"/>
  <c r="R178" i="50" s="1"/>
  <c r="I94" i="50"/>
  <c r="R166" i="50"/>
  <c r="R186" i="50" s="1"/>
  <c r="Q186" i="50"/>
  <c r="L46" i="39"/>
  <c r="S46" i="39" s="1"/>
  <c r="E59" i="39"/>
  <c r="P46" i="39"/>
  <c r="W46" i="39" s="1"/>
  <c r="I59" i="39"/>
  <c r="J46" i="39"/>
  <c r="Q46" i="39" s="1"/>
  <c r="C59" i="39"/>
  <c r="N46" i="39"/>
  <c r="U46" i="39" s="1"/>
  <c r="G59" i="39"/>
  <c r="M46" i="39"/>
  <c r="T46" i="39" s="1"/>
  <c r="F59" i="39"/>
  <c r="H15" i="21" l="1"/>
  <c r="M284" i="50"/>
  <c r="G284" i="50"/>
  <c r="B7" i="48"/>
  <c r="M59" i="39"/>
  <c r="F65" i="39"/>
  <c r="L59" i="39"/>
  <c r="E65" i="39"/>
  <c r="J59" i="39"/>
  <c r="C65" i="39"/>
  <c r="N59" i="39"/>
  <c r="G65" i="39"/>
  <c r="P59" i="39"/>
  <c r="I65" i="39"/>
  <c r="Y110" i="50"/>
  <c r="P170" i="50"/>
  <c r="Y106" i="50"/>
  <c r="R17" i="50"/>
  <c r="R92" i="50" s="1"/>
  <c r="Q92" i="50"/>
  <c r="K17" i="50"/>
  <c r="K92" i="50" s="1"/>
  <c r="J92" i="50"/>
  <c r="H13" i="21"/>
  <c r="Q104" i="50"/>
  <c r="R29" i="50"/>
  <c r="R26" i="50"/>
  <c r="R101" i="50" s="1"/>
  <c r="Q101" i="50"/>
  <c r="K29" i="50"/>
  <c r="K104" i="50" s="1"/>
  <c r="J104" i="50"/>
  <c r="X74" i="50"/>
  <c r="W99" i="50"/>
  <c r="R28" i="50"/>
  <c r="R103" i="50" s="1"/>
  <c r="Q103" i="50"/>
  <c r="R27" i="50"/>
  <c r="R102" i="50" s="1"/>
  <c r="Q102" i="50"/>
  <c r="R119" i="50"/>
  <c r="R179" i="50" s="1"/>
  <c r="Q179" i="50"/>
  <c r="J97" i="50"/>
  <c r="J93" i="50" s="1"/>
  <c r="K22" i="50"/>
  <c r="K97" i="50" s="1"/>
  <c r="Q105" i="50"/>
  <c r="R30" i="50"/>
  <c r="Q97" i="50"/>
  <c r="R22" i="50"/>
  <c r="K24" i="50"/>
  <c r="K99" i="50" s="1"/>
  <c r="J99" i="50"/>
  <c r="K27" i="50"/>
  <c r="K102" i="50" s="1"/>
  <c r="J102" i="50"/>
  <c r="K28" i="50"/>
  <c r="K103" i="50" s="1"/>
  <c r="J103" i="50"/>
  <c r="K26" i="50"/>
  <c r="K101" i="50" s="1"/>
  <c r="J101" i="50"/>
  <c r="K25" i="50"/>
  <c r="K100" i="50" s="1"/>
  <c r="J100" i="50"/>
  <c r="R24" i="50"/>
  <c r="Q99" i="50"/>
  <c r="X79" i="50"/>
  <c r="W104" i="50"/>
  <c r="R25" i="50"/>
  <c r="R100" i="50" s="1"/>
  <c r="Q100" i="50"/>
  <c r="Q98" i="50"/>
  <c r="R23" i="50"/>
  <c r="K119" i="50"/>
  <c r="K179" i="50" s="1"/>
  <c r="J179" i="50"/>
  <c r="H282" i="50"/>
  <c r="I170" i="50"/>
  <c r="K112" i="50"/>
  <c r="K172" i="50" s="1"/>
  <c r="J172" i="50"/>
  <c r="K116" i="50"/>
  <c r="K176" i="50" s="1"/>
  <c r="J176" i="50"/>
  <c r="K128" i="50"/>
  <c r="K188" i="50" s="1"/>
  <c r="J188" i="50"/>
  <c r="K120" i="50"/>
  <c r="K180" i="50" s="1"/>
  <c r="J180" i="50"/>
  <c r="K127" i="50"/>
  <c r="K187" i="50" s="1"/>
  <c r="J187" i="50"/>
  <c r="K111" i="50"/>
  <c r="K171" i="50" s="1"/>
  <c r="J171" i="50"/>
  <c r="K113" i="50"/>
  <c r="K173" i="50" s="1"/>
  <c r="J173" i="50"/>
  <c r="K124" i="50"/>
  <c r="K184" i="50" s="1"/>
  <c r="J184" i="50"/>
  <c r="X170" i="50"/>
  <c r="I93" i="50"/>
  <c r="I84" i="50" s="1"/>
  <c r="K125" i="50"/>
  <c r="K185" i="50" s="1"/>
  <c r="J185" i="50"/>
  <c r="K123" i="50"/>
  <c r="K183" i="50" s="1"/>
  <c r="J183" i="50"/>
  <c r="K115" i="50"/>
  <c r="K175" i="50" s="1"/>
  <c r="J175" i="50"/>
  <c r="K118" i="50"/>
  <c r="K178" i="50" s="1"/>
  <c r="J178" i="50"/>
  <c r="K117" i="50"/>
  <c r="K177" i="50" s="1"/>
  <c r="J177" i="50"/>
  <c r="K126" i="50"/>
  <c r="K186" i="50" s="1"/>
  <c r="J186" i="50"/>
  <c r="K122" i="50"/>
  <c r="K182" i="50" s="1"/>
  <c r="J182" i="50"/>
  <c r="K121" i="50"/>
  <c r="K181" i="50" s="1"/>
  <c r="J181" i="50"/>
  <c r="U84" i="50"/>
  <c r="K129" i="50"/>
  <c r="J110" i="50"/>
  <c r="H11" i="49"/>
  <c r="R129" i="50"/>
  <c r="R110" i="50" s="1"/>
  <c r="Q110" i="50"/>
  <c r="H15" i="49"/>
  <c r="K81" i="50"/>
  <c r="I15" i="49" s="1"/>
  <c r="G10" i="49"/>
  <c r="U10" i="49"/>
  <c r="S13" i="49"/>
  <c r="Y189" i="50"/>
  <c r="Y170" i="50" s="1"/>
  <c r="Y150" i="50"/>
  <c r="K150" i="50"/>
  <c r="W62" i="50"/>
  <c r="W59" i="50" s="1"/>
  <c r="V14" i="49" s="1"/>
  <c r="V59" i="50"/>
  <c r="U14" i="49" s="1"/>
  <c r="O12" i="49"/>
  <c r="R31" i="50"/>
  <c r="P12" i="49" s="1"/>
  <c r="X63" i="50"/>
  <c r="X88" i="50" s="1"/>
  <c r="X87" i="50" s="1"/>
  <c r="R13" i="50"/>
  <c r="R12" i="50" s="1"/>
  <c r="Q12" i="50"/>
  <c r="R19" i="50"/>
  <c r="Q18" i="50"/>
  <c r="M10" i="49"/>
  <c r="O279" i="50"/>
  <c r="P9" i="50"/>
  <c r="O11" i="49" s="1"/>
  <c r="W93" i="50"/>
  <c r="W279" i="50"/>
  <c r="V84" i="50"/>
  <c r="P94" i="50"/>
  <c r="P93" i="50" s="1"/>
  <c r="Q69" i="50"/>
  <c r="P68" i="50"/>
  <c r="R82" i="50"/>
  <c r="R107" i="50" s="1"/>
  <c r="Q107" i="50"/>
  <c r="Y72" i="50"/>
  <c r="Y97" i="50" s="1"/>
  <c r="X97" i="50"/>
  <c r="X93" i="50" s="1"/>
  <c r="Q63" i="50"/>
  <c r="P62" i="50"/>
  <c r="P88" i="50"/>
  <c r="P87" i="50" s="1"/>
  <c r="R81" i="50"/>
  <c r="O15" i="49"/>
  <c r="Q106" i="50"/>
  <c r="R80" i="50"/>
  <c r="R72" i="50"/>
  <c r="N281" i="50"/>
  <c r="N284" i="50" s="1"/>
  <c r="L13" i="49"/>
  <c r="R60" i="50"/>
  <c r="R85" i="50" s="1"/>
  <c r="Q85" i="50"/>
  <c r="R65" i="50"/>
  <c r="R90" i="50" s="1"/>
  <c r="Q90" i="50"/>
  <c r="R70" i="50"/>
  <c r="R95" i="50" s="1"/>
  <c r="Q95" i="50"/>
  <c r="R74" i="50"/>
  <c r="R71" i="50"/>
  <c r="R96" i="50" s="1"/>
  <c r="Q96" i="50"/>
  <c r="R79" i="50"/>
  <c r="O59" i="50"/>
  <c r="N14" i="49" s="1"/>
  <c r="O84" i="50"/>
  <c r="O282" i="50" s="1"/>
  <c r="R61" i="50"/>
  <c r="R86" i="50" s="1"/>
  <c r="Q86" i="50"/>
  <c r="R73" i="50"/>
  <c r="R66" i="50"/>
  <c r="R91" i="50" s="1"/>
  <c r="Q91" i="50"/>
  <c r="R83" i="50"/>
  <c r="R108" i="50" s="1"/>
  <c r="Q108" i="50"/>
  <c r="X60" i="50"/>
  <c r="W85" i="50"/>
  <c r="I59" i="50"/>
  <c r="H14" i="49" s="1"/>
  <c r="W12" i="49"/>
  <c r="I12" i="49"/>
  <c r="H281" i="50"/>
  <c r="F13" i="49"/>
  <c r="I279" i="50"/>
  <c r="X9" i="50"/>
  <c r="W11" i="49" s="1"/>
  <c r="J9" i="50"/>
  <c r="K60" i="50"/>
  <c r="J85" i="50"/>
  <c r="Y69" i="50"/>
  <c r="X68" i="50"/>
  <c r="R151" i="50"/>
  <c r="Q171" i="50"/>
  <c r="Q150" i="50"/>
  <c r="Y12" i="50"/>
  <c r="K12" i="50"/>
  <c r="J62" i="50"/>
  <c r="K63" i="50"/>
  <c r="K62" i="50" s="1"/>
  <c r="J88" i="50"/>
  <c r="J87" i="50" s="1"/>
  <c r="K69" i="50"/>
  <c r="K68" i="50" s="1"/>
  <c r="J68" i="50"/>
  <c r="Y18" i="50"/>
  <c r="I8" i="39"/>
  <c r="P8" i="39" s="1"/>
  <c r="W8" i="39" s="1"/>
  <c r="H8" i="39"/>
  <c r="G8" i="39"/>
  <c r="N8" i="39" s="1"/>
  <c r="U8" i="39" s="1"/>
  <c r="F8" i="39"/>
  <c r="M8" i="39" s="1"/>
  <c r="T8" i="39" s="1"/>
  <c r="E8" i="39"/>
  <c r="L8" i="39" s="1"/>
  <c r="S8" i="39" s="1"/>
  <c r="D8" i="39"/>
  <c r="C8" i="39"/>
  <c r="J8" i="39" s="1"/>
  <c r="Q8" i="39" s="1"/>
  <c r="I15" i="21" l="1"/>
  <c r="H284" i="50"/>
  <c r="P59" i="50"/>
  <c r="O14" i="49" s="1"/>
  <c r="K18" i="50"/>
  <c r="K9" i="50" s="1"/>
  <c r="Q170" i="50"/>
  <c r="I13" i="21"/>
  <c r="R97" i="50"/>
  <c r="Y74" i="50"/>
  <c r="Y99" i="50" s="1"/>
  <c r="X99" i="50"/>
  <c r="R99" i="50"/>
  <c r="R104" i="50"/>
  <c r="R98" i="50"/>
  <c r="R105" i="50"/>
  <c r="R18" i="50"/>
  <c r="R9" i="50" s="1"/>
  <c r="Y79" i="50"/>
  <c r="Y104" i="50" s="1"/>
  <c r="X104" i="50"/>
  <c r="I282" i="50"/>
  <c r="K110" i="50"/>
  <c r="J170" i="50"/>
  <c r="I11" i="49"/>
  <c r="K106" i="50"/>
  <c r="K189" i="50"/>
  <c r="K170" i="50" s="1"/>
  <c r="R189" i="50"/>
  <c r="N13" i="49"/>
  <c r="I281" i="50"/>
  <c r="X62" i="50"/>
  <c r="X59" i="50" s="1"/>
  <c r="W14" i="49" s="1"/>
  <c r="T13" i="49"/>
  <c r="W84" i="50"/>
  <c r="Y63" i="50"/>
  <c r="Y62" i="50" s="1"/>
  <c r="N10" i="49"/>
  <c r="P279" i="50"/>
  <c r="Q9" i="50"/>
  <c r="P11" i="49" s="1"/>
  <c r="P84" i="50"/>
  <c r="P282" i="50" s="1"/>
  <c r="Y68" i="50"/>
  <c r="P15" i="49"/>
  <c r="R106" i="50"/>
  <c r="Y60" i="50"/>
  <c r="Y85" i="50" s="1"/>
  <c r="X85" i="50"/>
  <c r="M13" i="49"/>
  <c r="O281" i="50"/>
  <c r="O284" i="50" s="1"/>
  <c r="Q88" i="50"/>
  <c r="Q87" i="50" s="1"/>
  <c r="R63" i="50"/>
  <c r="Q62" i="50"/>
  <c r="Q94" i="50"/>
  <c r="Q93" i="50" s="1"/>
  <c r="Q68" i="50"/>
  <c r="R69" i="50"/>
  <c r="G13" i="49"/>
  <c r="X279" i="50"/>
  <c r="V10" i="49"/>
  <c r="U13" i="49"/>
  <c r="J279" i="50"/>
  <c r="H10" i="49"/>
  <c r="Y94" i="50"/>
  <c r="Y93" i="50" s="1"/>
  <c r="J59" i="50"/>
  <c r="I14" i="49" s="1"/>
  <c r="K88" i="50"/>
  <c r="K87" i="50" s="1"/>
  <c r="J84" i="50"/>
  <c r="R171" i="50"/>
  <c r="R150" i="50"/>
  <c r="Y9" i="50"/>
  <c r="K85" i="50"/>
  <c r="K59" i="50"/>
  <c r="K94" i="50"/>
  <c r="K93" i="50" s="1"/>
  <c r="K8" i="39"/>
  <c r="R8" i="39" s="1"/>
  <c r="O8" i="39"/>
  <c r="V8" i="39" s="1"/>
  <c r="J15" i="21" l="1"/>
  <c r="AA9" i="50"/>
  <c r="I284" i="50"/>
  <c r="P281" i="50"/>
  <c r="P284" i="50" s="1"/>
  <c r="X84" i="50"/>
  <c r="J13" i="21"/>
  <c r="J282" i="50"/>
  <c r="R170" i="50"/>
  <c r="Y88" i="50"/>
  <c r="Y87" i="50" s="1"/>
  <c r="Y84" i="50" s="1"/>
  <c r="P10" i="49"/>
  <c r="R279" i="50"/>
  <c r="Q279" i="50"/>
  <c r="O10" i="49"/>
  <c r="Q84" i="50"/>
  <c r="Q282" i="50" s="1"/>
  <c r="Y59" i="50"/>
  <c r="R68" i="50"/>
  <c r="R94" i="50"/>
  <c r="R93" i="50" s="1"/>
  <c r="R62" i="50"/>
  <c r="R88" i="50"/>
  <c r="R87" i="50" s="1"/>
  <c r="Q59" i="50"/>
  <c r="P14" i="49" s="1"/>
  <c r="Y279" i="50"/>
  <c r="W10" i="49"/>
  <c r="V13" i="49"/>
  <c r="K281" i="50"/>
  <c r="I13" i="49"/>
  <c r="J281" i="50"/>
  <c r="H13" i="49"/>
  <c r="K279" i="50"/>
  <c r="I10" i="49"/>
  <c r="K84" i="50"/>
  <c r="J284" i="50" l="1"/>
  <c r="W13" i="49"/>
  <c r="R59" i="50"/>
  <c r="R84" i="50"/>
  <c r="R282" i="50" s="1"/>
  <c r="O13" i="49"/>
  <c r="Q281" i="50"/>
  <c r="Q284" i="50" s="1"/>
  <c r="K282" i="50"/>
  <c r="K284" i="50" s="1"/>
  <c r="R281" i="50" l="1"/>
  <c r="R284" i="50" s="1"/>
  <c r="P13" i="49"/>
  <c r="J12" i="21"/>
  <c r="I12" i="21"/>
  <c r="H12" i="21"/>
  <c r="G12" i="21"/>
  <c r="F12" i="21"/>
  <c r="J7" i="20"/>
  <c r="I7" i="20"/>
  <c r="H7" i="20"/>
  <c r="G7" i="20"/>
  <c r="F7" i="20"/>
  <c r="J8" i="17"/>
  <c r="Q8" i="17" s="1"/>
  <c r="X8" i="17" s="1"/>
  <c r="I8" i="17"/>
  <c r="P8" i="17" s="1"/>
  <c r="W8" i="17" s="1"/>
  <c r="H8" i="17"/>
  <c r="O8" i="17" s="1"/>
  <c r="V8" i="17" s="1"/>
  <c r="G8" i="17"/>
  <c r="N8" i="17" s="1"/>
  <c r="U8" i="17" s="1"/>
  <c r="F8" i="17"/>
  <c r="M8" i="17" s="1"/>
  <c r="T8" i="17" s="1"/>
  <c r="I7" i="16"/>
  <c r="H7" i="16"/>
  <c r="G7" i="16"/>
  <c r="F7" i="16"/>
  <c r="E7" i="16"/>
  <c r="D7" i="16"/>
  <c r="C7" i="16"/>
  <c r="I7" i="7"/>
  <c r="I59" i="7" s="1"/>
  <c r="H7" i="7"/>
  <c r="H59" i="7" s="1"/>
  <c r="G7" i="7"/>
  <c r="G59" i="7" s="1"/>
  <c r="F7" i="7"/>
  <c r="F59" i="7" s="1"/>
  <c r="E7" i="7"/>
  <c r="E59" i="7" s="1"/>
  <c r="D7" i="7"/>
  <c r="D59" i="7" s="1"/>
  <c r="C7" i="7"/>
  <c r="C59" i="7" s="1"/>
  <c r="L6" i="2"/>
  <c r="K6" i="2"/>
  <c r="J6" i="2"/>
  <c r="I6" i="2"/>
  <c r="H6" i="2"/>
  <c r="G6" i="2"/>
  <c r="F6" i="2"/>
  <c r="E6" i="2"/>
  <c r="J7" i="7" l="1"/>
  <c r="J59" i="7" s="1"/>
  <c r="C35" i="7"/>
  <c r="C47" i="7" s="1"/>
  <c r="N7" i="7"/>
  <c r="N59" i="7" s="1"/>
  <c r="G35" i="7"/>
  <c r="G47" i="7" s="1"/>
  <c r="K7" i="7"/>
  <c r="K59" i="7" s="1"/>
  <c r="D35" i="7"/>
  <c r="D47" i="7" s="1"/>
  <c r="O7" i="7"/>
  <c r="O59" i="7" s="1"/>
  <c r="H35" i="7"/>
  <c r="H47" i="7" s="1"/>
  <c r="M7" i="7"/>
  <c r="M59" i="7" s="1"/>
  <c r="F35" i="7"/>
  <c r="F47" i="7" s="1"/>
  <c r="L7" i="7"/>
  <c r="L59" i="7" s="1"/>
  <c r="E35" i="7"/>
  <c r="E47" i="7" s="1"/>
  <c r="P7" i="7"/>
  <c r="P59" i="7" s="1"/>
  <c r="I35" i="7"/>
  <c r="I47" i="7" s="1"/>
  <c r="G22" i="17"/>
  <c r="H22" i="17"/>
  <c r="I22" i="17"/>
  <c r="F22" i="17"/>
  <c r="J22" i="17"/>
  <c r="B56" i="35"/>
  <c r="B116" i="54" s="1"/>
  <c r="A23" i="16" s="1"/>
  <c r="A50" i="47" s="1"/>
  <c r="A51" i="48" s="1"/>
  <c r="B29" i="17" s="1"/>
  <c r="B25" i="49" s="1"/>
  <c r="B24" i="20" s="1"/>
  <c r="B35" i="21" s="1"/>
  <c r="B15" i="22" s="1"/>
  <c r="A4" i="35"/>
  <c r="A4" i="5" s="1"/>
  <c r="A4" i="7" s="1"/>
  <c r="A4" i="46" l="1"/>
  <c r="A6" i="65"/>
  <c r="A4" i="1"/>
  <c r="B43" i="60"/>
  <c r="B71" i="39" s="1"/>
  <c r="B37" i="58" s="1"/>
  <c r="A51" i="46" s="1"/>
  <c r="B101" i="41" s="1"/>
  <c r="B71" i="7" s="1"/>
  <c r="C286" i="50" s="1"/>
  <c r="C115" i="51" s="1"/>
  <c r="B108" i="53" s="1"/>
  <c r="B54" i="5"/>
  <c r="C117" i="1" s="1"/>
  <c r="B73" i="65" s="1"/>
  <c r="S7" i="7"/>
  <c r="S35" i="7" s="1"/>
  <c r="L35" i="7"/>
  <c r="L47" i="7" s="1"/>
  <c r="V7" i="7"/>
  <c r="V35" i="7" s="1"/>
  <c r="O35" i="7"/>
  <c r="O47" i="7" s="1"/>
  <c r="U7" i="7"/>
  <c r="U35" i="7" s="1"/>
  <c r="N35" i="7"/>
  <c r="N47" i="7" s="1"/>
  <c r="W7" i="7"/>
  <c r="W35" i="7" s="1"/>
  <c r="P35" i="7"/>
  <c r="P47" i="7" s="1"/>
  <c r="T7" i="7"/>
  <c r="T35" i="7" s="1"/>
  <c r="M35" i="7"/>
  <c r="M47" i="7" s="1"/>
  <c r="R7" i="7"/>
  <c r="R35" i="7" s="1"/>
  <c r="K35" i="7"/>
  <c r="K47" i="7" s="1"/>
  <c r="Q7" i="7"/>
  <c r="Q35" i="7" s="1"/>
  <c r="J35" i="7"/>
  <c r="J47" i="7" s="1"/>
  <c r="A5" i="62"/>
  <c r="A5" i="22"/>
  <c r="A5" i="20"/>
  <c r="A5" i="17"/>
  <c r="A4" i="47"/>
  <c r="A4" i="54"/>
  <c r="A4" i="51"/>
  <c r="A4" i="39"/>
  <c r="A5" i="60"/>
  <c r="A5" i="21"/>
  <c r="A5" i="49"/>
  <c r="A4" i="48"/>
  <c r="A4" i="16"/>
  <c r="A4" i="53"/>
  <c r="A4" i="50"/>
  <c r="A5" i="41"/>
  <c r="A6" i="58"/>
  <c r="A4" i="2"/>
  <c r="E101" i="1"/>
  <c r="E91" i="1"/>
  <c r="E47" i="1"/>
  <c r="E42" i="1"/>
  <c r="E37" i="1"/>
  <c r="C41" i="2" l="1"/>
  <c r="E95" i="1"/>
  <c r="C179" i="62"/>
  <c r="J91" i="1"/>
  <c r="R47" i="1"/>
  <c r="Q47" i="1"/>
  <c r="P47" i="1"/>
  <c r="O47" i="1"/>
  <c r="N47" i="1"/>
  <c r="M47" i="1"/>
  <c r="R42" i="1"/>
  <c r="Q42" i="1"/>
  <c r="P42" i="1"/>
  <c r="O42" i="1"/>
  <c r="N42" i="1"/>
  <c r="M42" i="1"/>
  <c r="R37" i="1"/>
  <c r="Q37" i="1"/>
  <c r="P37" i="1"/>
  <c r="O37" i="1"/>
  <c r="N37" i="1"/>
  <c r="M37" i="1"/>
  <c r="R32" i="1"/>
  <c r="Q32" i="1"/>
  <c r="P32" i="1"/>
  <c r="O32" i="1"/>
  <c r="N32" i="1"/>
  <c r="M32" i="1"/>
  <c r="L47" i="1" l="1"/>
  <c r="L42" i="1"/>
  <c r="L37" i="1"/>
  <c r="L32" i="1"/>
  <c r="J9" i="20" l="1"/>
  <c r="I65" i="7"/>
  <c r="H65" i="7"/>
  <c r="G65" i="7"/>
  <c r="F65" i="7"/>
  <c r="E65" i="7"/>
  <c r="D65" i="7"/>
  <c r="D60" i="7" l="1"/>
  <c r="D64" i="7" s="1"/>
  <c r="D66" i="7" l="1"/>
  <c r="E60" i="7" l="1"/>
  <c r="E66" i="7" l="1"/>
  <c r="E64" i="7" s="1"/>
  <c r="F60" i="7" l="1"/>
  <c r="F66" i="7" l="1"/>
  <c r="G60" i="7" s="1"/>
  <c r="F64" i="7" l="1"/>
  <c r="G66" i="7"/>
  <c r="H60" i="7" s="1"/>
  <c r="O13" i="17"/>
  <c r="N13" i="17"/>
  <c r="Q13" i="17"/>
  <c r="M13" i="17"/>
  <c r="P13" i="17"/>
  <c r="G64" i="7" l="1"/>
  <c r="H66" i="7"/>
  <c r="I60" i="7" s="1"/>
  <c r="I9" i="20"/>
  <c r="H9" i="20"/>
  <c r="G9" i="20"/>
  <c r="F9" i="20"/>
  <c r="I66" i="7" l="1"/>
  <c r="I64" i="7" s="1"/>
  <c r="H64" i="7"/>
  <c r="F11" i="2"/>
  <c r="G11" i="2"/>
  <c r="H11" i="2"/>
  <c r="I11" i="2"/>
  <c r="J11" i="2"/>
  <c r="K11" i="2"/>
  <c r="E11" i="2"/>
  <c r="F33" i="2" l="1"/>
  <c r="G33" i="2"/>
  <c r="H33" i="2"/>
  <c r="I33" i="2"/>
  <c r="J33" i="2"/>
  <c r="K33" i="2"/>
  <c r="F34" i="2"/>
  <c r="G34" i="2"/>
  <c r="H34" i="2"/>
  <c r="I34" i="2"/>
  <c r="J34" i="2"/>
  <c r="K34" i="2"/>
  <c r="F35" i="2"/>
  <c r="G35" i="2"/>
  <c r="F36" i="2"/>
  <c r="G36" i="2"/>
  <c r="H36" i="2"/>
  <c r="I36" i="2"/>
  <c r="J36" i="2"/>
  <c r="K36" i="2"/>
  <c r="E36" i="2"/>
  <c r="E35" i="2"/>
  <c r="E34" i="2"/>
  <c r="E33" i="2"/>
  <c r="F91" i="1"/>
  <c r="G91" i="1"/>
  <c r="H91" i="1"/>
  <c r="I91" i="1"/>
  <c r="K91" i="1"/>
  <c r="F101" i="1"/>
  <c r="G101" i="1"/>
  <c r="H101" i="1"/>
  <c r="I101" i="1"/>
  <c r="J101" i="1"/>
  <c r="K101" i="1"/>
  <c r="F22" i="2"/>
  <c r="G22" i="2"/>
  <c r="H22" i="2"/>
  <c r="I22" i="2"/>
  <c r="J22" i="2"/>
  <c r="K22" i="2"/>
  <c r="F23" i="2"/>
  <c r="G23" i="2"/>
  <c r="H23" i="2"/>
  <c r="I23" i="2"/>
  <c r="J23" i="2"/>
  <c r="K23" i="2"/>
  <c r="F24" i="2"/>
  <c r="G24" i="2"/>
  <c r="H24" i="2"/>
  <c r="I24" i="2"/>
  <c r="J24" i="2"/>
  <c r="K24" i="2"/>
  <c r="E24" i="2"/>
  <c r="E23" i="2"/>
  <c r="E22" i="2"/>
  <c r="F16" i="2"/>
  <c r="G16" i="2"/>
  <c r="H16" i="2"/>
  <c r="I16" i="2"/>
  <c r="J16" i="2"/>
  <c r="K16" i="2"/>
  <c r="F17" i="2"/>
  <c r="G17" i="2"/>
  <c r="H17" i="2"/>
  <c r="I17" i="2"/>
  <c r="J17" i="2"/>
  <c r="K17" i="2"/>
  <c r="F18" i="2"/>
  <c r="G18" i="2"/>
  <c r="H18" i="2"/>
  <c r="I18" i="2"/>
  <c r="J18" i="2"/>
  <c r="K18" i="2"/>
  <c r="F20" i="2"/>
  <c r="G20" i="2"/>
  <c r="H20" i="2"/>
  <c r="I20" i="2"/>
  <c r="J20" i="2"/>
  <c r="K20" i="2"/>
  <c r="E20" i="2"/>
  <c r="E18" i="2"/>
  <c r="E17" i="2"/>
  <c r="E16" i="2"/>
  <c r="H95" i="1" l="1"/>
  <c r="H32" i="2" s="1"/>
  <c r="E32" i="2"/>
  <c r="I95" i="1"/>
  <c r="I32" i="2" s="1"/>
  <c r="K95" i="1"/>
  <c r="K32" i="2" s="1"/>
  <c r="G95" i="1"/>
  <c r="G32" i="2" s="1"/>
  <c r="J95" i="1"/>
  <c r="J32" i="2" s="1"/>
  <c r="F95" i="1"/>
  <c r="F32" i="2" s="1"/>
  <c r="F10" i="2"/>
  <c r="G10" i="2"/>
  <c r="H10" i="2"/>
  <c r="I10" i="2"/>
  <c r="J10" i="2"/>
  <c r="K10" i="2"/>
  <c r="E10" i="2"/>
  <c r="H32" i="1"/>
  <c r="I32" i="1"/>
  <c r="J32" i="1"/>
  <c r="K32" i="1"/>
  <c r="F37" i="1"/>
  <c r="G37" i="1"/>
  <c r="H37" i="1"/>
  <c r="I37" i="1"/>
  <c r="J37" i="1"/>
  <c r="K37" i="1"/>
  <c r="F42" i="1"/>
  <c r="G42" i="1"/>
  <c r="H42" i="1"/>
  <c r="I42" i="1"/>
  <c r="J42" i="1"/>
  <c r="K42" i="1"/>
  <c r="F47" i="1"/>
  <c r="G47" i="1"/>
  <c r="H47" i="1"/>
  <c r="I47" i="1"/>
  <c r="J47" i="1"/>
  <c r="K47" i="1"/>
  <c r="I17" i="16"/>
  <c r="H17" i="16"/>
  <c r="G17" i="16"/>
  <c r="F17" i="16"/>
  <c r="E17" i="16"/>
  <c r="D17" i="16"/>
  <c r="C17" i="16"/>
  <c r="C54" i="7"/>
  <c r="I53" i="7"/>
  <c r="H53" i="7"/>
  <c r="G53" i="7"/>
  <c r="F53" i="7"/>
  <c r="E53" i="7"/>
  <c r="D53" i="7"/>
  <c r="C53" i="7"/>
  <c r="X13" i="17"/>
  <c r="W13" i="17"/>
  <c r="V13" i="17"/>
  <c r="U13" i="17"/>
  <c r="T13" i="17"/>
  <c r="C52" i="7" l="1"/>
  <c r="D17" i="21"/>
  <c r="D18" i="21" s="1"/>
  <c r="C18" i="49"/>
  <c r="C16" i="49" s="1"/>
  <c r="Q18" i="49"/>
  <c r="Q16" i="49" s="1"/>
  <c r="J18" i="49"/>
  <c r="J16" i="49" s="1"/>
  <c r="K8" i="2"/>
  <c r="G8" i="2"/>
  <c r="I9" i="2"/>
  <c r="K9" i="2"/>
  <c r="G9" i="2"/>
  <c r="D48" i="7"/>
  <c r="I8" i="2"/>
  <c r="E8" i="2"/>
  <c r="J9" i="2"/>
  <c r="F9" i="2"/>
  <c r="H9" i="2"/>
  <c r="J8" i="2"/>
  <c r="F8" i="2"/>
  <c r="H8" i="2"/>
  <c r="E9" i="2"/>
  <c r="F7" i="2"/>
  <c r="G7" i="2"/>
  <c r="H7" i="2"/>
  <c r="I7" i="2"/>
  <c r="J7" i="2"/>
  <c r="K7" i="2"/>
  <c r="K17" i="49" l="1"/>
  <c r="D28" i="7"/>
  <c r="D32" i="7" s="1"/>
  <c r="K28" i="7"/>
  <c r="K32" i="7" s="1"/>
  <c r="R28" i="7"/>
  <c r="R32" i="7" s="1"/>
  <c r="R17" i="49"/>
  <c r="D17" i="49"/>
  <c r="D16" i="21"/>
  <c r="D28" i="21" s="1"/>
  <c r="D54" i="7"/>
  <c r="D52" i="7" s="1"/>
  <c r="J21" i="2"/>
  <c r="F21" i="2"/>
  <c r="E17" i="21" l="1"/>
  <c r="D56" i="53"/>
  <c r="D53" i="53" s="1"/>
  <c r="E12" i="20" s="1"/>
  <c r="R18" i="49"/>
  <c r="R16" i="49" s="1"/>
  <c r="D18" i="49"/>
  <c r="D16" i="49" s="1"/>
  <c r="K18" i="49"/>
  <c r="K16" i="49" s="1"/>
  <c r="D25" i="21"/>
  <c r="D27" i="21"/>
  <c r="E48" i="7"/>
  <c r="H21" i="2"/>
  <c r="G21" i="2"/>
  <c r="I21" i="2"/>
  <c r="K21" i="2"/>
  <c r="D29" i="21" l="1"/>
  <c r="E17" i="49"/>
  <c r="E28" i="7"/>
  <c r="E32" i="7" s="1"/>
  <c r="S17" i="49"/>
  <c r="L28" i="7"/>
  <c r="L32" i="7" s="1"/>
  <c r="L17" i="49"/>
  <c r="S28" i="7"/>
  <c r="S32" i="7" s="1"/>
  <c r="E18" i="21"/>
  <c r="E16" i="21"/>
  <c r="E54" i="7"/>
  <c r="E52" i="7" s="1"/>
  <c r="F17" i="21" l="1"/>
  <c r="F18" i="21" s="1"/>
  <c r="L18" i="49"/>
  <c r="L16" i="49" s="1"/>
  <c r="S18" i="49"/>
  <c r="S16" i="49" s="1"/>
  <c r="E18" i="49"/>
  <c r="E16" i="49" s="1"/>
  <c r="E25" i="21"/>
  <c r="E27" i="21"/>
  <c r="E28" i="21"/>
  <c r="F48" i="7"/>
  <c r="E56" i="53" l="1"/>
  <c r="E53" i="53" s="1"/>
  <c r="F12" i="20" s="1"/>
  <c r="E29" i="21"/>
  <c r="T28" i="7"/>
  <c r="T32" i="7" s="1"/>
  <c r="F17" i="49"/>
  <c r="M17" i="49"/>
  <c r="M28" i="7"/>
  <c r="M32" i="7" s="1"/>
  <c r="T17" i="49"/>
  <c r="F16" i="21"/>
  <c r="F25" i="21" s="1"/>
  <c r="F54" i="7"/>
  <c r="F52" i="7" s="1"/>
  <c r="G17" i="21" l="1"/>
  <c r="G16" i="21" s="1"/>
  <c r="F28" i="7"/>
  <c r="F32" i="7" s="1"/>
  <c r="F18" i="49"/>
  <c r="F16" i="49" s="1"/>
  <c r="T18" i="49"/>
  <c r="T16" i="49" s="1"/>
  <c r="M18" i="49"/>
  <c r="M16" i="49" s="1"/>
  <c r="F27" i="21"/>
  <c r="F28" i="21"/>
  <c r="G48" i="7"/>
  <c r="F29" i="2"/>
  <c r="J29" i="2"/>
  <c r="I29" i="2"/>
  <c r="K29" i="2"/>
  <c r="G29" i="2"/>
  <c r="H29" i="2"/>
  <c r="E21" i="2"/>
  <c r="F56" i="53" l="1"/>
  <c r="F53" i="53" s="1"/>
  <c r="G12" i="20" s="1"/>
  <c r="U17" i="49"/>
  <c r="N28" i="7"/>
  <c r="N32" i="7" s="1"/>
  <c r="U28" i="7"/>
  <c r="U32" i="7" s="1"/>
  <c r="G17" i="49"/>
  <c r="N17" i="49"/>
  <c r="G28" i="7"/>
  <c r="G32" i="7" s="1"/>
  <c r="F29" i="21"/>
  <c r="G18" i="21"/>
  <c r="G25" i="21" s="1"/>
  <c r="G27" i="21"/>
  <c r="G28" i="21"/>
  <c r="G54" i="7"/>
  <c r="G52" i="7" s="1"/>
  <c r="E29" i="2"/>
  <c r="H17" i="21" l="1"/>
  <c r="H18" i="21" s="1"/>
  <c r="N18" i="49"/>
  <c r="N16" i="49" s="1"/>
  <c r="G18" i="49"/>
  <c r="G16" i="49" s="1"/>
  <c r="U18" i="49"/>
  <c r="U16" i="49" s="1"/>
  <c r="G29" i="21"/>
  <c r="H48" i="7"/>
  <c r="G56" i="53" l="1"/>
  <c r="G53" i="53" s="1"/>
  <c r="H12" i="20" s="1"/>
  <c r="O17" i="49"/>
  <c r="H28" i="7"/>
  <c r="H32" i="7" s="1"/>
  <c r="O28" i="7"/>
  <c r="O32" i="7" s="1"/>
  <c r="V17" i="49"/>
  <c r="V28" i="7"/>
  <c r="V32" i="7" s="1"/>
  <c r="H17" i="49"/>
  <c r="H16" i="21"/>
  <c r="H25" i="21" s="1"/>
  <c r="H54" i="7"/>
  <c r="H52" i="7" s="1"/>
  <c r="I17" i="21" l="1"/>
  <c r="I18" i="21" s="1"/>
  <c r="V18" i="49"/>
  <c r="V16" i="49" s="1"/>
  <c r="H18" i="49"/>
  <c r="H16" i="49" s="1"/>
  <c r="O18" i="49"/>
  <c r="O16" i="49" s="1"/>
  <c r="H28" i="21"/>
  <c r="H27" i="21"/>
  <c r="I48" i="7"/>
  <c r="H56" i="53" l="1"/>
  <c r="H53" i="53" s="1"/>
  <c r="I12" i="20" s="1"/>
  <c r="I17" i="49"/>
  <c r="I28" i="7"/>
  <c r="I32" i="7" s="1"/>
  <c r="W17" i="49"/>
  <c r="P17" i="49"/>
  <c r="P28" i="7"/>
  <c r="P32" i="7" s="1"/>
  <c r="W28" i="7"/>
  <c r="W32" i="7" s="1"/>
  <c r="H29" i="21"/>
  <c r="I16" i="21"/>
  <c r="I54" i="7"/>
  <c r="I52" i="7" s="1"/>
  <c r="J17" i="21" l="1"/>
  <c r="J18" i="21" s="1"/>
  <c r="P18" i="49"/>
  <c r="P16" i="49" s="1"/>
  <c r="W18" i="49"/>
  <c r="W16" i="49" s="1"/>
  <c r="I18" i="49"/>
  <c r="I16" i="49" s="1"/>
  <c r="I25" i="21"/>
  <c r="I28" i="21"/>
  <c r="I27" i="21"/>
  <c r="I56" i="53" l="1"/>
  <c r="I53" i="53" s="1"/>
  <c r="J12" i="20" s="1"/>
  <c r="I29" i="21"/>
  <c r="J16" i="21"/>
  <c r="J25" i="21" s="1"/>
  <c r="J27" i="21" l="1"/>
  <c r="J28" i="21"/>
  <c r="J29" i="21" l="1"/>
  <c r="D61" i="53"/>
  <c r="C27" i="47" s="1"/>
  <c r="C24" i="48" s="1"/>
  <c r="E61" i="53"/>
  <c r="D27" i="47" s="1"/>
  <c r="F61" i="53"/>
  <c r="E27" i="47" s="1"/>
  <c r="G61" i="53"/>
  <c r="F27" i="47" s="1"/>
  <c r="H61" i="53"/>
  <c r="G27" i="47" s="1"/>
  <c r="I61" i="53"/>
  <c r="H27" i="47" s="1"/>
  <c r="H24" i="48" l="1"/>
  <c r="G24" i="48"/>
  <c r="F24" i="48"/>
  <c r="D24" i="48"/>
  <c r="E24" i="48"/>
  <c r="C57" i="53" l="1"/>
  <c r="C92" i="53" s="1"/>
  <c r="C103" i="53" s="1"/>
  <c r="C32" i="60" l="1"/>
  <c r="C35" i="60"/>
  <c r="C36" i="60"/>
  <c r="J11" i="53" l="1"/>
  <c r="K11" i="53"/>
  <c r="N11" i="53"/>
  <c r="M11" i="53"/>
  <c r="L11" i="53"/>
  <c r="P11" i="53"/>
  <c r="O11" i="54"/>
  <c r="O11" i="53"/>
  <c r="J58" i="53" l="1"/>
  <c r="J15" i="60" s="1"/>
  <c r="J29" i="60" l="1"/>
  <c r="AS29" i="60" s="1"/>
  <c r="AS15" i="60"/>
  <c r="J57" i="53"/>
  <c r="B26" i="47" l="1"/>
  <c r="J92" i="53"/>
  <c r="J103" i="53" s="1"/>
  <c r="J32" i="60"/>
  <c r="J35" i="60"/>
  <c r="J36" i="60"/>
  <c r="J84" i="53"/>
  <c r="E85" i="1" s="1"/>
  <c r="D14" i="20" l="1"/>
  <c r="D13" i="20" s="1"/>
  <c r="D20" i="20" s="1"/>
  <c r="J20" i="49" s="1"/>
  <c r="J21" i="49" s="1"/>
  <c r="AS32" i="60"/>
  <c r="AS36" i="60"/>
  <c r="AS35" i="60"/>
  <c r="C11" i="16" l="1"/>
  <c r="C13" i="16" s="1"/>
  <c r="C19" i="16" s="1"/>
  <c r="E27" i="2" l="1"/>
  <c r="U58" i="53"/>
  <c r="S58" i="53"/>
  <c r="L58" i="53"/>
  <c r="T58" i="53"/>
  <c r="E58" i="53"/>
  <c r="H58" i="53"/>
  <c r="W58" i="53"/>
  <c r="O58" i="53"/>
  <c r="P58" i="53"/>
  <c r="V58" i="53"/>
  <c r="M58" i="53"/>
  <c r="N58" i="53"/>
  <c r="I58" i="53"/>
  <c r="F58" i="53"/>
  <c r="G58" i="53"/>
  <c r="P57" i="53" l="1"/>
  <c r="P15" i="60"/>
  <c r="P29" i="60" s="1"/>
  <c r="K57" i="53"/>
  <c r="K15" i="60"/>
  <c r="K29" i="60" s="1"/>
  <c r="N57" i="53"/>
  <c r="N15" i="60"/>
  <c r="N29" i="60" s="1"/>
  <c r="N35" i="60" s="1"/>
  <c r="U57" i="53"/>
  <c r="U92" i="53" s="1"/>
  <c r="U103" i="53" s="1"/>
  <c r="U15" i="60"/>
  <c r="U29" i="60" s="1"/>
  <c r="M57" i="53"/>
  <c r="M15" i="60"/>
  <c r="M29" i="60" s="1"/>
  <c r="L57" i="53"/>
  <c r="L15" i="60"/>
  <c r="L29" i="60" s="1"/>
  <c r="R57" i="53"/>
  <c r="R92" i="53" s="1"/>
  <c r="R103" i="53" s="1"/>
  <c r="R15" i="60"/>
  <c r="R29" i="60" s="1"/>
  <c r="O57" i="53"/>
  <c r="O92" i="53" s="1"/>
  <c r="O103" i="53" s="1"/>
  <c r="O15" i="60"/>
  <c r="O29" i="60" s="1"/>
  <c r="V57" i="53"/>
  <c r="V92" i="53" s="1"/>
  <c r="V103" i="53" s="1"/>
  <c r="V15" i="60"/>
  <c r="V29" i="60" s="1"/>
  <c r="W57" i="53"/>
  <c r="W92" i="53" s="1"/>
  <c r="W103" i="53" s="1"/>
  <c r="W15" i="60"/>
  <c r="W29" i="60" s="1"/>
  <c r="W35" i="60" s="1"/>
  <c r="T57" i="53"/>
  <c r="T92" i="53" s="1"/>
  <c r="T103" i="53" s="1"/>
  <c r="T15" i="60"/>
  <c r="T29" i="60" s="1"/>
  <c r="S57" i="53"/>
  <c r="S92" i="53" s="1"/>
  <c r="S103" i="53" s="1"/>
  <c r="S15" i="60"/>
  <c r="S29" i="60" s="1"/>
  <c r="S32" i="60" s="1"/>
  <c r="G57" i="53"/>
  <c r="G92" i="53" s="1"/>
  <c r="G103" i="53" s="1"/>
  <c r="G15" i="60"/>
  <c r="H57" i="53"/>
  <c r="H92" i="53" s="1"/>
  <c r="H103" i="53" s="1"/>
  <c r="H15" i="60"/>
  <c r="D57" i="53"/>
  <c r="D92" i="53" s="1"/>
  <c r="D103" i="53" s="1"/>
  <c r="D15" i="60"/>
  <c r="F57" i="53"/>
  <c r="F92" i="53" s="1"/>
  <c r="F103" i="53" s="1"/>
  <c r="F15" i="60"/>
  <c r="E57" i="53"/>
  <c r="E92" i="53" s="1"/>
  <c r="E103" i="53" s="1"/>
  <c r="E15" i="60"/>
  <c r="I57" i="53"/>
  <c r="I92" i="53" s="1"/>
  <c r="I103" i="53" s="1"/>
  <c r="I15" i="60"/>
  <c r="I85" i="53"/>
  <c r="N32" i="60"/>
  <c r="P85" i="53"/>
  <c r="L85" i="53"/>
  <c r="E85" i="53"/>
  <c r="S85" i="53"/>
  <c r="G85" i="53"/>
  <c r="O85" i="53"/>
  <c r="W85" i="53"/>
  <c r="F85" i="53"/>
  <c r="T85" i="53"/>
  <c r="N85" i="53"/>
  <c r="H85" i="53"/>
  <c r="M85" i="53"/>
  <c r="V85" i="53"/>
  <c r="U85" i="53"/>
  <c r="AY15" i="60" l="1"/>
  <c r="AV15" i="60"/>
  <c r="AX15" i="60"/>
  <c r="AU15" i="60"/>
  <c r="AT15" i="60"/>
  <c r="AW15" i="60"/>
  <c r="N36" i="60"/>
  <c r="M84" i="53"/>
  <c r="H85" i="1" s="1"/>
  <c r="M92" i="53"/>
  <c r="M103" i="53" s="1"/>
  <c r="N84" i="53"/>
  <c r="I85" i="1" s="1"/>
  <c r="N92" i="53"/>
  <c r="N103" i="53" s="1"/>
  <c r="P84" i="53"/>
  <c r="K85" i="1" s="1"/>
  <c r="P92" i="53"/>
  <c r="P103" i="53" s="1"/>
  <c r="O84" i="53"/>
  <c r="J85" i="1" s="1"/>
  <c r="L84" i="53"/>
  <c r="G85" i="1" s="1"/>
  <c r="L92" i="53"/>
  <c r="L103" i="53" s="1"/>
  <c r="K84" i="53"/>
  <c r="F85" i="1" s="1"/>
  <c r="K92" i="53"/>
  <c r="K103" i="53" s="1"/>
  <c r="H26" i="47"/>
  <c r="H23" i="48" s="1"/>
  <c r="E26" i="47"/>
  <c r="E23" i="48" s="1"/>
  <c r="G26" i="47"/>
  <c r="G23" i="48" s="1"/>
  <c r="F26" i="47"/>
  <c r="F23" i="48" s="1"/>
  <c r="W36" i="60"/>
  <c r="S35" i="60"/>
  <c r="S36" i="60"/>
  <c r="W32" i="60"/>
  <c r="C26" i="47"/>
  <c r="C23" i="48" s="1"/>
  <c r="D26" i="47"/>
  <c r="I29" i="60"/>
  <c r="H29" i="60"/>
  <c r="AX29" i="60" s="1"/>
  <c r="E29" i="60"/>
  <c r="D29" i="60"/>
  <c r="AT29" i="60" s="1"/>
  <c r="G29" i="60"/>
  <c r="F29" i="60"/>
  <c r="AV29" i="60" s="1"/>
  <c r="L32" i="60"/>
  <c r="L35" i="60"/>
  <c r="L36" i="60"/>
  <c r="P32" i="60"/>
  <c r="P35" i="60"/>
  <c r="P36" i="60"/>
  <c r="K32" i="60"/>
  <c r="K36" i="60"/>
  <c r="K35" i="60"/>
  <c r="M32" i="60"/>
  <c r="M36" i="60"/>
  <c r="M35" i="60"/>
  <c r="U32" i="60"/>
  <c r="U36" i="60"/>
  <c r="U35" i="60"/>
  <c r="T32" i="60"/>
  <c r="T36" i="60"/>
  <c r="T35" i="60"/>
  <c r="O32" i="60"/>
  <c r="O35" i="60"/>
  <c r="O36" i="60"/>
  <c r="R32" i="60"/>
  <c r="R35" i="60"/>
  <c r="R36" i="60"/>
  <c r="V32" i="60"/>
  <c r="V36" i="60"/>
  <c r="V35" i="60"/>
  <c r="G35" i="60" l="1"/>
  <c r="AW29" i="60"/>
  <c r="AW36" i="60" s="1"/>
  <c r="I32" i="60"/>
  <c r="AY29" i="60"/>
  <c r="AY35" i="60" s="1"/>
  <c r="E36" i="60"/>
  <c r="AU29" i="60"/>
  <c r="AU32" i="60" s="1"/>
  <c r="G36" i="60"/>
  <c r="G14" i="20"/>
  <c r="G13" i="20" s="1"/>
  <c r="G20" i="20" s="1"/>
  <c r="M20" i="49" s="1"/>
  <c r="M21" i="49" s="1"/>
  <c r="G31" i="21" s="1"/>
  <c r="N9" i="17" s="1"/>
  <c r="M10" i="17"/>
  <c r="Q10" i="17"/>
  <c r="F14" i="20"/>
  <c r="F13" i="20" s="1"/>
  <c r="F20" i="20" s="1"/>
  <c r="L20" i="49" s="1"/>
  <c r="L21" i="49" s="1"/>
  <c r="F31" i="21" s="1"/>
  <c r="M9" i="17" s="1"/>
  <c r="H14" i="20"/>
  <c r="H13" i="20" s="1"/>
  <c r="H20" i="20" s="1"/>
  <c r="N20" i="49" s="1"/>
  <c r="N21" i="49" s="1"/>
  <c r="H31" i="21" s="1"/>
  <c r="O9" i="17" s="1"/>
  <c r="N10" i="17"/>
  <c r="O10" i="17"/>
  <c r="P10" i="17"/>
  <c r="E14" i="20"/>
  <c r="E13" i="20" s="1"/>
  <c r="E20" i="20" s="1"/>
  <c r="K20" i="49" s="1"/>
  <c r="K21" i="49" s="1"/>
  <c r="J14" i="20"/>
  <c r="J13" i="20" s="1"/>
  <c r="J20" i="20" s="1"/>
  <c r="P20" i="49" s="1"/>
  <c r="P21" i="49" s="1"/>
  <c r="J31" i="21" s="1"/>
  <c r="Q9" i="17" s="1"/>
  <c r="I14" i="20"/>
  <c r="I13" i="20" s="1"/>
  <c r="I20" i="20" s="1"/>
  <c r="O20" i="49" s="1"/>
  <c r="O21" i="49" s="1"/>
  <c r="I31" i="21" s="1"/>
  <c r="P9" i="17" s="1"/>
  <c r="I36" i="60"/>
  <c r="H36" i="60"/>
  <c r="D23" i="48"/>
  <c r="E32" i="60"/>
  <c r="D36" i="60"/>
  <c r="E35" i="60"/>
  <c r="G32" i="60"/>
  <c r="I35" i="60"/>
  <c r="D35" i="60"/>
  <c r="H32" i="60"/>
  <c r="D32" i="60"/>
  <c r="H35" i="60"/>
  <c r="F36" i="60"/>
  <c r="F35" i="60"/>
  <c r="F32" i="60"/>
  <c r="AT32" i="60"/>
  <c r="AT36" i="60"/>
  <c r="AT35" i="60"/>
  <c r="AV32" i="60"/>
  <c r="AV36" i="60"/>
  <c r="AV35" i="60"/>
  <c r="AX32" i="60"/>
  <c r="AX36" i="60"/>
  <c r="AX35" i="60"/>
  <c r="M11" i="17" l="1"/>
  <c r="Q11" i="17"/>
  <c r="O11" i="17"/>
  <c r="N11" i="17"/>
  <c r="P11" i="17"/>
  <c r="AY32" i="60"/>
  <c r="AW32" i="60"/>
  <c r="AW35" i="60"/>
  <c r="AY36" i="60"/>
  <c r="AU36" i="60"/>
  <c r="AU35" i="60"/>
  <c r="F27" i="2"/>
  <c r="L9" i="22" l="1"/>
  <c r="H9" i="16" s="1"/>
  <c r="J84" i="1"/>
  <c r="J27" i="2" s="1"/>
  <c r="H84" i="1"/>
  <c r="H27" i="2" s="1"/>
  <c r="K9" i="22"/>
  <c r="G9" i="16" s="1"/>
  <c r="I84" i="1"/>
  <c r="I27" i="2" s="1"/>
  <c r="M9" i="22"/>
  <c r="I9" i="16" s="1"/>
  <c r="K84" i="1"/>
  <c r="K27" i="2" s="1"/>
  <c r="I9" i="22"/>
  <c r="E9" i="16" s="1"/>
  <c r="G84" i="1"/>
  <c r="G27" i="2" s="1"/>
  <c r="J9" i="22"/>
  <c r="F9" i="16" s="1"/>
  <c r="D11" i="16"/>
  <c r="D13" i="16" s="1"/>
  <c r="D19" i="16" s="1"/>
  <c r="T233" i="50" l="1"/>
  <c r="T213" i="50" s="1"/>
  <c r="R29" i="7" s="1"/>
  <c r="Y233" i="50"/>
  <c r="Y213" i="50" s="1"/>
  <c r="W233" i="50"/>
  <c r="W213" i="50" s="1"/>
  <c r="U29" i="7" s="1"/>
  <c r="U31" i="7" s="1"/>
  <c r="U233" i="50"/>
  <c r="U213" i="50" s="1"/>
  <c r="S29" i="7" s="1"/>
  <c r="S31" i="7" s="1"/>
  <c r="V233" i="50"/>
  <c r="V213" i="50" s="1"/>
  <c r="S213" i="50"/>
  <c r="X233" i="50"/>
  <c r="X213" i="50" s="1"/>
  <c r="Y280" i="50" l="1"/>
  <c r="W29" i="7"/>
  <c r="W31" i="7" s="1"/>
  <c r="T53" i="53"/>
  <c r="T84" i="53" s="1"/>
  <c r="H87" i="1" s="1"/>
  <c r="T29" i="7"/>
  <c r="T31" i="7" s="1"/>
  <c r="X280" i="50"/>
  <c r="V29" i="7"/>
  <c r="V31" i="7" s="1"/>
  <c r="Q53" i="53"/>
  <c r="D18" i="20" s="1"/>
  <c r="Q29" i="7"/>
  <c r="W53" i="53"/>
  <c r="W84" i="53" s="1"/>
  <c r="K87" i="1" s="1"/>
  <c r="W280" i="50"/>
  <c r="U53" i="53"/>
  <c r="U84" i="53" s="1"/>
  <c r="I87" i="1" s="1"/>
  <c r="T255" i="50"/>
  <c r="T280" i="50"/>
  <c r="R53" i="53"/>
  <c r="E18" i="20" s="1"/>
  <c r="S53" i="53"/>
  <c r="U280" i="50"/>
  <c r="V280" i="50"/>
  <c r="S280" i="50"/>
  <c r="V53" i="53"/>
  <c r="B28" i="47" l="1"/>
  <c r="U255" i="50"/>
  <c r="V255" i="50" s="1"/>
  <c r="V235" i="50" s="1"/>
  <c r="V281" i="50" s="1"/>
  <c r="T277" i="50"/>
  <c r="T257" i="50" s="1"/>
  <c r="T282" i="50" s="1"/>
  <c r="Q84" i="53"/>
  <c r="H28" i="47"/>
  <c r="G18" i="20"/>
  <c r="E28" i="47"/>
  <c r="J18" i="20"/>
  <c r="H18" i="20"/>
  <c r="F28" i="47"/>
  <c r="T235" i="50"/>
  <c r="T281" i="50" s="1"/>
  <c r="U10" i="17"/>
  <c r="G17" i="20"/>
  <c r="I18" i="20"/>
  <c r="G28" i="47"/>
  <c r="V84" i="53"/>
  <c r="J87" i="1" s="1"/>
  <c r="F18" i="20"/>
  <c r="D28" i="47"/>
  <c r="S84" i="53"/>
  <c r="G87" i="1" s="1"/>
  <c r="H17" i="20"/>
  <c r="V10" i="17"/>
  <c r="J17" i="20"/>
  <c r="X10" i="17"/>
  <c r="R84" i="53"/>
  <c r="F87" i="1" s="1"/>
  <c r="C28" i="47"/>
  <c r="U235" i="50" l="1"/>
  <c r="U281" i="50" s="1"/>
  <c r="T284" i="50"/>
  <c r="E87" i="1"/>
  <c r="E28" i="2" s="1"/>
  <c r="D17" i="20"/>
  <c r="D16" i="20" s="1"/>
  <c r="D21" i="20" s="1"/>
  <c r="Q20" i="49" s="1"/>
  <c r="Q21" i="49" s="1"/>
  <c r="W255" i="50"/>
  <c r="W277" i="50" s="1"/>
  <c r="W257" i="50" s="1"/>
  <c r="W282" i="50" s="1"/>
  <c r="V277" i="50"/>
  <c r="V257" i="50" s="1"/>
  <c r="V282" i="50" s="1"/>
  <c r="V284" i="50" s="1"/>
  <c r="U277" i="50"/>
  <c r="U257" i="50" s="1"/>
  <c r="U282" i="50" s="1"/>
  <c r="G16" i="20"/>
  <c r="G21" i="20" s="1"/>
  <c r="T20" i="49" s="1"/>
  <c r="T21" i="49" s="1"/>
  <c r="G32" i="21" s="1"/>
  <c r="U9" i="17" s="1"/>
  <c r="U11" i="17" s="1"/>
  <c r="H86" i="1" s="1"/>
  <c r="H16" i="20"/>
  <c r="H21" i="20" s="1"/>
  <c r="U20" i="49" s="1"/>
  <c r="U21" i="49" s="1"/>
  <c r="H32" i="21" s="1"/>
  <c r="V9" i="17" s="1"/>
  <c r="V11" i="17" s="1"/>
  <c r="I86" i="1" s="1"/>
  <c r="J16" i="20"/>
  <c r="J21" i="20" s="1"/>
  <c r="W20" i="49" s="1"/>
  <c r="W21" i="49" s="1"/>
  <c r="J32" i="21" s="1"/>
  <c r="X9" i="17" s="1"/>
  <c r="X11" i="17" s="1"/>
  <c r="K86" i="1" s="1"/>
  <c r="F28" i="2"/>
  <c r="E17" i="20"/>
  <c r="E16" i="20" s="1"/>
  <c r="E21" i="20" s="1"/>
  <c r="R20" i="49" s="1"/>
  <c r="R21" i="49" s="1"/>
  <c r="I17" i="20"/>
  <c r="I16" i="20" s="1"/>
  <c r="I21" i="20" s="1"/>
  <c r="V20" i="49" s="1"/>
  <c r="V21" i="49" s="1"/>
  <c r="I32" i="21" s="1"/>
  <c r="W10" i="17"/>
  <c r="T10" i="17"/>
  <c r="F17" i="20"/>
  <c r="F16" i="20" s="1"/>
  <c r="F21" i="20" s="1"/>
  <c r="S20" i="49" s="1"/>
  <c r="S21" i="49" s="1"/>
  <c r="F32" i="21" s="1"/>
  <c r="U284" i="50" l="1"/>
  <c r="W235" i="50"/>
  <c r="W281" i="50" s="1"/>
  <c r="W284" i="50" s="1"/>
  <c r="X255" i="50"/>
  <c r="X277" i="50" s="1"/>
  <c r="X257" i="50" s="1"/>
  <c r="X282" i="50" s="1"/>
  <c r="R9" i="22"/>
  <c r="K28" i="2"/>
  <c r="O9" i="22"/>
  <c r="H28" i="2"/>
  <c r="P9" i="22"/>
  <c r="I28" i="2"/>
  <c r="T9" i="17"/>
  <c r="T11" i="17" s="1"/>
  <c r="G86" i="1" s="1"/>
  <c r="W9" i="17"/>
  <c r="W11" i="17" s="1"/>
  <c r="J86" i="1" s="1"/>
  <c r="X235" i="50" l="1"/>
  <c r="X281" i="50" s="1"/>
  <c r="X284" i="50" s="1"/>
  <c r="Y255" i="50"/>
  <c r="Y277" i="50" s="1"/>
  <c r="Y257" i="50" s="1"/>
  <c r="O11" i="22"/>
  <c r="O13" i="22"/>
  <c r="F10" i="16"/>
  <c r="O12" i="22"/>
  <c r="G28" i="2"/>
  <c r="N9" i="22"/>
  <c r="P13" i="22"/>
  <c r="P12" i="22"/>
  <c r="G10" i="16"/>
  <c r="P11" i="22"/>
  <c r="J28" i="2"/>
  <c r="Q9" i="22"/>
  <c r="R13" i="22"/>
  <c r="R12" i="22"/>
  <c r="I10" i="16"/>
  <c r="R11" i="22"/>
  <c r="Y235" i="50" l="1"/>
  <c r="Y281" i="50" s="1"/>
  <c r="N12" i="22"/>
  <c r="N11" i="22"/>
  <c r="N13" i="22"/>
  <c r="E10" i="16"/>
  <c r="Y282" i="50"/>
  <c r="AA84" i="50"/>
  <c r="Q13" i="22"/>
  <c r="H10" i="16"/>
  <c r="Q11" i="22"/>
  <c r="Q12" i="22"/>
  <c r="C11" i="54"/>
  <c r="Q12" i="39"/>
  <c r="C17" i="53"/>
  <c r="AA34" i="50" l="1"/>
  <c r="J17" i="39"/>
  <c r="C87" i="53"/>
  <c r="C94" i="53" s="1"/>
  <c r="C105" i="53" s="1"/>
  <c r="Y284" i="50"/>
  <c r="H17" i="53"/>
  <c r="E17" i="53"/>
  <c r="G17" i="53"/>
  <c r="C11" i="53"/>
  <c r="I17" i="53"/>
  <c r="F17" i="53"/>
  <c r="N17" i="39" l="1"/>
  <c r="G87" i="53"/>
  <c r="G94" i="53" s="1"/>
  <c r="G105" i="53" s="1"/>
  <c r="M17" i="39"/>
  <c r="F87" i="53"/>
  <c r="F94" i="53" s="1"/>
  <c r="F105" i="53" s="1"/>
  <c r="L17" i="39"/>
  <c r="E87" i="53"/>
  <c r="E94" i="53" s="1"/>
  <c r="E105" i="53" s="1"/>
  <c r="P17" i="39"/>
  <c r="I87" i="53"/>
  <c r="I94" i="53" s="1"/>
  <c r="I105" i="53" s="1"/>
  <c r="O17" i="39"/>
  <c r="H87" i="53"/>
  <c r="H94" i="53" s="1"/>
  <c r="H105" i="53" s="1"/>
  <c r="R12" i="39"/>
  <c r="R13" i="39" s="1"/>
  <c r="K13" i="39"/>
  <c r="S12" i="39"/>
  <c r="L13" i="39"/>
  <c r="V12" i="39"/>
  <c r="O13" i="39"/>
  <c r="T12" i="39"/>
  <c r="M13" i="39"/>
  <c r="W12" i="39"/>
  <c r="W13" i="39" s="1"/>
  <c r="P13" i="39"/>
  <c r="U12" i="39"/>
  <c r="N13" i="39"/>
  <c r="C84" i="53"/>
  <c r="E83" i="1" s="1"/>
  <c r="B24" i="47"/>
  <c r="B23" i="47" s="1"/>
  <c r="E11" i="53"/>
  <c r="I11" i="53"/>
  <c r="D11" i="53"/>
  <c r="D94" i="53"/>
  <c r="D105" i="53" s="1"/>
  <c r="H11" i="53"/>
  <c r="G11" i="53"/>
  <c r="F11" i="53"/>
  <c r="U13" i="39" l="1"/>
  <c r="T13" i="39"/>
  <c r="E26" i="2"/>
  <c r="D11" i="20"/>
  <c r="D10" i="20" s="1"/>
  <c r="S13" i="39"/>
  <c r="V13" i="39"/>
  <c r="F84" i="53"/>
  <c r="H83" i="1" s="1"/>
  <c r="E24" i="47"/>
  <c r="E23" i="47" s="1"/>
  <c r="I84" i="53"/>
  <c r="K83" i="1" s="1"/>
  <c r="H24" i="47"/>
  <c r="H23" i="47" s="1"/>
  <c r="D84" i="53"/>
  <c r="F83" i="1" s="1"/>
  <c r="C24" i="47"/>
  <c r="C23" i="47" s="1"/>
  <c r="B42" i="47"/>
  <c r="B22" i="47"/>
  <c r="B43" i="47" s="1"/>
  <c r="B46" i="47" s="1"/>
  <c r="F24" i="47"/>
  <c r="F23" i="47" s="1"/>
  <c r="G84" i="53"/>
  <c r="I83" i="1" s="1"/>
  <c r="G24" i="47"/>
  <c r="G23" i="47" s="1"/>
  <c r="H84" i="53"/>
  <c r="J83" i="1" s="1"/>
  <c r="D24" i="47"/>
  <c r="D23" i="47" s="1"/>
  <c r="E84" i="53"/>
  <c r="G83" i="1" s="1"/>
  <c r="D19" i="20" l="1"/>
  <c r="C20" i="49" s="1"/>
  <c r="C21" i="49" s="1"/>
  <c r="F26" i="2"/>
  <c r="E11" i="20"/>
  <c r="E10" i="20" s="1"/>
  <c r="E19" i="20" s="1"/>
  <c r="D20" i="49" s="1"/>
  <c r="D21" i="49" s="1"/>
  <c r="F10" i="17"/>
  <c r="F11" i="20"/>
  <c r="F10" i="20" s="1"/>
  <c r="F19" i="20" s="1"/>
  <c r="E20" i="49" s="1"/>
  <c r="E21" i="49" s="1"/>
  <c r="F30" i="21" s="1"/>
  <c r="H10" i="17"/>
  <c r="H11" i="20"/>
  <c r="H10" i="20" s="1"/>
  <c r="H19" i="20" s="1"/>
  <c r="G20" i="49" s="1"/>
  <c r="G21" i="49" s="1"/>
  <c r="H30" i="21" s="1"/>
  <c r="C21" i="48"/>
  <c r="D21" i="48"/>
  <c r="D20" i="48" s="1"/>
  <c r="D22" i="47"/>
  <c r="G11" i="20"/>
  <c r="G10" i="20" s="1"/>
  <c r="G19" i="20" s="1"/>
  <c r="F20" i="49" s="1"/>
  <c r="F21" i="49" s="1"/>
  <c r="G30" i="21" s="1"/>
  <c r="G10" i="17"/>
  <c r="I10" i="17"/>
  <c r="I11" i="20"/>
  <c r="I10" i="20" s="1"/>
  <c r="I19" i="20" s="1"/>
  <c r="H20" i="49" s="1"/>
  <c r="H21" i="49" s="1"/>
  <c r="I30" i="21" s="1"/>
  <c r="H22" i="47"/>
  <c r="H21" i="48"/>
  <c r="H20" i="48" s="1"/>
  <c r="G21" i="48"/>
  <c r="G20" i="48" s="1"/>
  <c r="G22" i="47"/>
  <c r="J10" i="17"/>
  <c r="J11" i="20"/>
  <c r="J10" i="20" s="1"/>
  <c r="J19" i="20" s="1"/>
  <c r="I20" i="49" s="1"/>
  <c r="I21" i="49" s="1"/>
  <c r="J30" i="21" s="1"/>
  <c r="E22" i="47"/>
  <c r="E21" i="48"/>
  <c r="E20" i="48" s="1"/>
  <c r="F22" i="47"/>
  <c r="F21" i="48"/>
  <c r="F20" i="48" s="1"/>
  <c r="C20" i="48" l="1"/>
  <c r="C41" i="48"/>
  <c r="C36" i="48" s="1"/>
  <c r="C22" i="47"/>
  <c r="C43" i="47" s="1"/>
  <c r="C42" i="47"/>
  <c r="F9" i="17"/>
  <c r="F11" i="17" s="1"/>
  <c r="G82" i="1" s="1"/>
  <c r="F33" i="21"/>
  <c r="I9" i="17"/>
  <c r="I11" i="17" s="1"/>
  <c r="J82" i="1" s="1"/>
  <c r="I33" i="21"/>
  <c r="H33" i="21"/>
  <c r="H9" i="17"/>
  <c r="H11" i="17" s="1"/>
  <c r="G33" i="21"/>
  <c r="G9" i="17"/>
  <c r="G11" i="17" s="1"/>
  <c r="H82" i="1" s="1"/>
  <c r="J33" i="21"/>
  <c r="J9" i="17"/>
  <c r="J11" i="17" s="1"/>
  <c r="K82" i="1" s="1"/>
  <c r="F9" i="47" l="1"/>
  <c r="F8" i="47" s="1"/>
  <c r="I82" i="1"/>
  <c r="I26" i="2" s="1"/>
  <c r="F9" i="22"/>
  <c r="G8" i="16" s="1"/>
  <c r="G11" i="16" s="1"/>
  <c r="G13" i="16" s="1"/>
  <c r="G19" i="16" s="1"/>
  <c r="F9" i="48"/>
  <c r="J26" i="2"/>
  <c r="G9" i="22"/>
  <c r="H8" i="16" s="1"/>
  <c r="H11" i="16" s="1"/>
  <c r="H13" i="16" s="1"/>
  <c r="H19" i="16" s="1"/>
  <c r="G9" i="47"/>
  <c r="G8" i="47" s="1"/>
  <c r="G9" i="48"/>
  <c r="H26" i="2"/>
  <c r="E9" i="47"/>
  <c r="E8" i="47" s="1"/>
  <c r="E9" i="48"/>
  <c r="E9" i="22"/>
  <c r="F8" i="16" s="1"/>
  <c r="F11" i="16" s="1"/>
  <c r="F13" i="16" s="1"/>
  <c r="F19" i="16" s="1"/>
  <c r="G26" i="2"/>
  <c r="D9" i="22"/>
  <c r="E8" i="16" s="1"/>
  <c r="E11" i="16" s="1"/>
  <c r="E13" i="16" s="1"/>
  <c r="E19" i="16" s="1"/>
  <c r="D9" i="48"/>
  <c r="D9" i="47"/>
  <c r="D8" i="47" s="1"/>
  <c r="H9" i="47"/>
  <c r="H8" i="47" s="1"/>
  <c r="H9" i="22"/>
  <c r="I8" i="16" s="1"/>
  <c r="I11" i="16" s="1"/>
  <c r="I13" i="16" s="1"/>
  <c r="I19" i="16" s="1"/>
  <c r="H9" i="48"/>
  <c r="K26" i="2"/>
  <c r="C43" i="48"/>
  <c r="C44" i="48" s="1"/>
  <c r="C45" i="48" s="1"/>
  <c r="C47" i="48" s="1"/>
  <c r="D46" i="48" s="1"/>
  <c r="C19" i="48"/>
  <c r="C44" i="47"/>
  <c r="D40" i="48" s="1"/>
  <c r="G8" i="48" l="1"/>
  <c r="G7" i="48" s="1"/>
  <c r="G41" i="48"/>
  <c r="F8" i="48"/>
  <c r="F7" i="48" s="1"/>
  <c r="F41" i="48"/>
  <c r="D8" i="48"/>
  <c r="D7" i="48" s="1"/>
  <c r="D41" i="48"/>
  <c r="D36" i="48" s="1"/>
  <c r="D19" i="48" s="1"/>
  <c r="E8" i="48"/>
  <c r="E7" i="48" s="1"/>
  <c r="E41" i="48"/>
  <c r="H8" i="48"/>
  <c r="H7" i="48" s="1"/>
  <c r="H41" i="48"/>
  <c r="C46" i="47"/>
  <c r="F42" i="47"/>
  <c r="F7" i="47"/>
  <c r="F43" i="47" s="1"/>
  <c r="G7" i="47"/>
  <c r="G43" i="47" s="1"/>
  <c r="G42" i="47"/>
  <c r="E42" i="47"/>
  <c r="E7" i="47"/>
  <c r="E43" i="47" s="1"/>
  <c r="D7" i="47"/>
  <c r="D43" i="47" s="1"/>
  <c r="D42" i="47"/>
  <c r="H7" i="47"/>
  <c r="H43" i="47" s="1"/>
  <c r="H42" i="47"/>
  <c r="F44" i="47" l="1"/>
  <c r="G40" i="48" s="1"/>
  <c r="G36" i="48" s="1"/>
  <c r="G19" i="48" s="1"/>
  <c r="E43" i="48"/>
  <c r="E44" i="48" s="1"/>
  <c r="H43" i="48"/>
  <c r="H44" i="48" s="1"/>
  <c r="G44" i="47"/>
  <c r="H40" i="48" s="1"/>
  <c r="H36" i="48" s="1"/>
  <c r="H19" i="48" s="1"/>
  <c r="D44" i="47"/>
  <c r="E40" i="48" s="1"/>
  <c r="E36" i="48" s="1"/>
  <c r="E19" i="48" s="1"/>
  <c r="F43" i="48"/>
  <c r="F44" i="48" s="1"/>
  <c r="G43" i="48"/>
  <c r="G44" i="48" s="1"/>
  <c r="H44" i="47"/>
  <c r="H46" i="47" s="1"/>
  <c r="E44" i="47"/>
  <c r="F40" i="48" s="1"/>
  <c r="F36" i="48" s="1"/>
  <c r="F19" i="48" s="1"/>
  <c r="D43" i="48"/>
  <c r="D44" i="48" s="1"/>
  <c r="D45" i="48" s="1"/>
  <c r="D47" i="48" s="1"/>
  <c r="E46" i="48" s="1"/>
  <c r="G45" i="48" l="1"/>
  <c r="E45" i="48"/>
  <c r="E47" i="48" s="1"/>
  <c r="F46" i="48" s="1"/>
  <c r="F45" i="48"/>
  <c r="G46" i="47"/>
  <c r="H45" i="48"/>
  <c r="E46" i="47"/>
  <c r="D46" i="47"/>
  <c r="F46" i="47"/>
  <c r="F47" i="48" l="1"/>
  <c r="G46" i="48" s="1"/>
  <c r="G47" i="48" s="1"/>
  <c r="H46" i="48" s="1"/>
  <c r="H47" i="48" s="1"/>
</calcChain>
</file>

<file path=xl/comments1.xml><?xml version="1.0" encoding="utf-8"?>
<comments xmlns="http://schemas.openxmlformats.org/spreadsheetml/2006/main">
  <authors>
    <author>dk-kpeev</author>
  </authors>
  <commentList>
    <comment ref="G7" authorId="0">
      <text>
        <r>
          <rPr>
            <b/>
            <sz val="9"/>
            <color indexed="81"/>
            <rFont val="Tahoma"/>
            <family val="2"/>
            <charset val="204"/>
          </rPr>
          <t>ДКЕВР:</t>
        </r>
        <r>
          <rPr>
            <sz val="9"/>
            <color indexed="81"/>
            <rFont val="Tahoma"/>
            <family val="2"/>
            <charset val="204"/>
          </rPr>
          <t xml:space="preserve">
Всички редове са задължителни!</t>
        </r>
      </text>
    </comment>
  </commentList>
</comments>
</file>

<file path=xl/comments2.xml><?xml version="1.0" encoding="utf-8"?>
<comments xmlns="http://schemas.openxmlformats.org/spreadsheetml/2006/main">
  <authors>
    <author>dk-kpeev</author>
    <author>lllll</author>
  </authors>
  <commentList>
    <comment ref="G7" authorId="0">
      <text>
        <r>
          <rPr>
            <b/>
            <sz val="9"/>
            <color indexed="81"/>
            <rFont val="Tahoma"/>
            <family val="2"/>
            <charset val="204"/>
          </rPr>
          <t>ДКЕВР:</t>
        </r>
        <r>
          <rPr>
            <sz val="9"/>
            <color indexed="81"/>
            <rFont val="Tahoma"/>
            <family val="2"/>
            <charset val="204"/>
          </rPr>
          <t xml:space="preserve">
Всички редове са задължителни!</t>
        </r>
      </text>
    </comment>
    <comment ref="B16" authorId="1">
      <text>
        <r>
          <rPr>
            <b/>
            <sz val="9"/>
            <color indexed="81"/>
            <rFont val="Tahoma"/>
            <family val="2"/>
            <charset val="204"/>
          </rPr>
          <t>КЕВР:</t>
        </r>
        <r>
          <rPr>
            <sz val="9"/>
            <color indexed="81"/>
            <rFont val="Tahoma"/>
            <family val="2"/>
            <charset val="204"/>
          </rPr>
          <t xml:space="preserve">
посочва се основанието, на което дружеството изпълнява дейността В и К оператор - (договор, концесия, ПЧП, решение на МС или ОС или друго)</t>
        </r>
      </text>
    </comment>
    <comment ref="B17" authorId="1">
      <text>
        <r>
          <rPr>
            <b/>
            <sz val="9"/>
            <color indexed="81"/>
            <rFont val="Tahoma"/>
            <family val="2"/>
            <charset val="204"/>
          </rPr>
          <t>КЕВР:</t>
        </r>
        <r>
          <rPr>
            <sz val="9"/>
            <color indexed="81"/>
            <rFont val="Tahoma"/>
            <family val="2"/>
            <charset val="204"/>
          </rPr>
          <t xml:space="preserve">
в случай на необходимост добавете редове</t>
        </r>
      </text>
    </comment>
  </commentList>
</comments>
</file>

<file path=xl/comments3.xml><?xml version="1.0" encoding="utf-8"?>
<comments xmlns="http://schemas.openxmlformats.org/spreadsheetml/2006/main">
  <authors>
    <author>Sylvia</author>
  </authors>
  <commentList>
    <comment ref="A17"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 ref="A29"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 ref="A42"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List>
</comments>
</file>

<file path=xl/comments4.xml><?xml version="1.0" encoding="utf-8"?>
<comments xmlns="http://schemas.openxmlformats.org/spreadsheetml/2006/main">
  <authors>
    <author>Sylvia</author>
  </authors>
  <commentList>
    <comment ref="A35" authorId="0">
      <text>
        <r>
          <rPr>
            <b/>
            <sz val="9"/>
            <color indexed="81"/>
            <rFont val="Tahoma"/>
            <family val="2"/>
            <charset val="204"/>
          </rPr>
          <t>КЕВР:</t>
        </r>
        <r>
          <rPr>
            <sz val="9"/>
            <color indexed="81"/>
            <rFont val="Tahoma"/>
            <family val="2"/>
            <charset val="204"/>
          </rPr>
          <t xml:space="preserve">
резултатите в реда трябва да са 0!</t>
        </r>
      </text>
    </comment>
  </commentList>
</comments>
</file>

<file path=xl/comments5.xml><?xml version="1.0" encoding="utf-8"?>
<comments xmlns="http://schemas.openxmlformats.org/spreadsheetml/2006/main">
  <authors>
    <author>Sylvia</author>
  </authors>
  <commentList>
    <comment ref="B24"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B37"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B49"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List>
</comments>
</file>

<file path=xl/comments6.xml><?xml version="1.0" encoding="utf-8"?>
<comments xmlns="http://schemas.openxmlformats.org/spreadsheetml/2006/main">
  <authors>
    <author>Sylvia</author>
  </authors>
  <commentList>
    <comment ref="AA6"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 ref="D213" authorId="0">
      <text>
        <r>
          <rPr>
            <b/>
            <sz val="9"/>
            <color indexed="81"/>
            <rFont val="Tahoma"/>
            <family val="2"/>
            <charset val="204"/>
          </rPr>
          <t>КЕВР:</t>
        </r>
        <r>
          <rPr>
            <sz val="9"/>
            <color indexed="81"/>
            <rFont val="Tahoma"/>
            <family val="2"/>
            <charset val="204"/>
          </rPr>
          <t xml:space="preserve">
при преоценени публични активи, да се нанесе реалната годишна амортизация, изчислена спрямо оставащия полезен живот на активите</t>
        </r>
      </text>
    </comment>
  </commentList>
</comments>
</file>

<file path=xl/comments7.xml><?xml version="1.0" encoding="utf-8"?>
<comments xmlns="http://schemas.openxmlformats.org/spreadsheetml/2006/main">
  <authors>
    <author>Sylvia</author>
  </authors>
  <commentList>
    <comment ref="E6" authorId="0">
      <text>
        <r>
          <rPr>
            <b/>
            <sz val="9"/>
            <color indexed="81"/>
            <rFont val="Tahoma"/>
            <family val="2"/>
            <charset val="204"/>
          </rPr>
          <t>КЕВР:</t>
        </r>
        <r>
          <rPr>
            <sz val="9"/>
            <color indexed="81"/>
            <rFont val="Tahoma"/>
            <family val="2"/>
            <charset val="204"/>
          </rPr>
          <t xml:space="preserve">
12 мес./ бр. месеци на амортизация</t>
        </r>
      </text>
    </comment>
    <comment ref="AH8" authorId="0">
      <text>
        <r>
          <rPr>
            <b/>
            <sz val="9"/>
            <color indexed="81"/>
            <rFont val="Tahoma"/>
            <family val="2"/>
            <charset val="204"/>
          </rPr>
          <t>КЕВР:</t>
        </r>
        <r>
          <rPr>
            <sz val="9"/>
            <color indexed="81"/>
            <rFont val="Tahoma"/>
            <family val="2"/>
            <charset val="204"/>
          </rPr>
          <t xml:space="preserve">
резултатите в колоната трябва да са 0!</t>
        </r>
      </text>
    </comment>
  </commentList>
</comments>
</file>

<file path=xl/comments8.xml><?xml version="1.0" encoding="utf-8"?>
<comments xmlns="http://schemas.openxmlformats.org/spreadsheetml/2006/main">
  <authors>
    <author>Ivailo Kastchiev</author>
    <author>Sylvia</author>
  </authors>
  <commentList>
    <comment ref="E62" authorId="0">
      <text>
        <r>
          <rPr>
            <b/>
            <sz val="9"/>
            <color indexed="81"/>
            <rFont val="Tahoma"/>
            <family val="2"/>
            <charset val="204"/>
          </rPr>
          <t xml:space="preserve">KЕВР: </t>
        </r>
        <r>
          <rPr>
            <sz val="9"/>
            <color indexed="81"/>
            <rFont val="Tahoma"/>
            <family val="2"/>
            <charset val="204"/>
          </rPr>
          <t xml:space="preserve">начислена амортизация на активи, придобити през отчетната година
</t>
        </r>
      </text>
    </comment>
    <comment ref="F62" authorId="1">
      <text>
        <r>
          <rPr>
            <b/>
            <sz val="9"/>
            <color indexed="81"/>
            <rFont val="Tahoma"/>
            <family val="2"/>
            <charset val="204"/>
          </rPr>
          <t>КЕВР:</t>
        </r>
        <r>
          <rPr>
            <sz val="9"/>
            <color indexed="81"/>
            <rFont val="Tahoma"/>
            <family val="2"/>
            <charset val="204"/>
          </rPr>
          <t xml:space="preserve">
пълна годишна амортизация на активи, придобити през отчетната година и корекция на амортизация за активи с изтекъл полезен живот</t>
        </r>
      </text>
    </comment>
  </commentList>
</comments>
</file>

<file path=xl/comments9.xml><?xml version="1.0" encoding="utf-8"?>
<comments xmlns="http://schemas.openxmlformats.org/spreadsheetml/2006/main">
  <authors>
    <author>Ivaylo Kolev</author>
  </authors>
  <commentList>
    <comment ref="A15" authorId="0">
      <text>
        <r>
          <rPr>
            <b/>
            <sz val="9"/>
            <color indexed="81"/>
            <rFont val="Tahoma"/>
            <family val="2"/>
          </rPr>
          <t xml:space="preserve">КЕВР: </t>
        </r>
        <r>
          <rPr>
            <sz val="9"/>
            <color indexed="81"/>
            <rFont val="Tahoma"/>
            <family val="2"/>
          </rPr>
          <t xml:space="preserve">за периода 2018-2020 г. се приема процента на нарастване за 2017 г.
</t>
        </r>
      </text>
    </comment>
  </commentList>
</comments>
</file>

<file path=xl/comments10.xml><?xml version="1.0" encoding="utf-8"?>
<comments xmlns="http://schemas.openxmlformats.org/spreadsheetml/2006/main">
  <authors>
    <author>Ivaylo Kolev</author>
  </authors>
  <commentList>
    <comment ref="B8" authorId="0">
      <text>
        <r>
          <rPr>
            <b/>
            <sz val="9"/>
            <color indexed="81"/>
            <rFont val="Tahoma"/>
            <family val="2"/>
          </rPr>
          <t xml:space="preserve">КЕВР: </t>
        </r>
        <r>
          <rPr>
            <sz val="9"/>
            <color indexed="81"/>
            <rFont val="Tahoma"/>
            <family val="2"/>
          </rPr>
          <t>ще бъде определен от комисията за всяка група ВиК оператори за 2016 г. След това ще се коригира индивидуално за всяко ВиК на база ПК 12г.</t>
        </r>
      </text>
    </comment>
  </commentList>
</comments>
</file>

<file path=xl/comments11.xml><?xml version="1.0" encoding="utf-8"?>
<comments xmlns="http://schemas.openxmlformats.org/spreadsheetml/2006/main">
  <authors>
    <author>Miroslav Mitkov</author>
  </authors>
  <commentList>
    <comment ref="E61" authorId="0">
      <text>
        <r>
          <rPr>
            <b/>
            <sz val="9"/>
            <color indexed="81"/>
            <rFont val="Tahoma"/>
            <family val="2"/>
            <charset val="204"/>
          </rPr>
          <t>Miroslav Mitkov:</t>
        </r>
        <r>
          <rPr>
            <sz val="9"/>
            <color indexed="81"/>
            <rFont val="Tahoma"/>
            <family val="2"/>
            <charset val="204"/>
          </rPr>
          <t xml:space="preserve">
Остава да се допълни с изисквания на ДКЕВР
Да се отрази в модела който да ще попълват операторите</t>
        </r>
      </text>
    </comment>
    <comment ref="E65" authorId="0">
      <text>
        <r>
          <rPr>
            <b/>
            <sz val="9"/>
            <color indexed="81"/>
            <rFont val="Tahoma"/>
            <family val="2"/>
            <charset val="204"/>
          </rPr>
          <t>Miroslav Mitkov:</t>
        </r>
        <r>
          <rPr>
            <sz val="9"/>
            <color indexed="81"/>
            <rFont val="Tahoma"/>
            <family val="2"/>
            <charset val="204"/>
          </rPr>
          <t xml:space="preserve">
Да се отрази в модела който да ще попълват операторите</t>
        </r>
      </text>
    </comment>
    <comment ref="C100" authorId="0">
      <text>
        <r>
          <rPr>
            <b/>
            <sz val="9"/>
            <color indexed="81"/>
            <rFont val="Tahoma"/>
            <family val="2"/>
            <charset val="204"/>
          </rPr>
          <t>Miroslav Mitkov:</t>
        </r>
        <r>
          <rPr>
            <sz val="9"/>
            <color indexed="81"/>
            <rFont val="Tahoma"/>
            <family val="2"/>
            <charset val="204"/>
          </rPr>
          <t xml:space="preserve">
За коментар - на пректика това са приходите от продажба на вода и приходите от лихви за забавени плащания.
</t>
        </r>
      </text>
    </comment>
    <comment ref="C101" authorId="0">
      <text>
        <r>
          <rPr>
            <b/>
            <sz val="9"/>
            <color indexed="81"/>
            <rFont val="Tahoma"/>
            <family val="2"/>
            <charset val="204"/>
          </rPr>
          <t>Miroslav Mitkov:</t>
        </r>
        <r>
          <rPr>
            <sz val="9"/>
            <color indexed="81"/>
            <rFont val="Tahoma"/>
            <family val="2"/>
            <charset val="204"/>
          </rPr>
          <t xml:space="preserve">
Виж определенията</t>
        </r>
      </text>
    </comment>
    <comment ref="C104" authorId="0">
      <text>
        <r>
          <rPr>
            <b/>
            <sz val="9"/>
            <color indexed="81"/>
            <rFont val="Tahoma"/>
            <family val="2"/>
            <charset val="204"/>
          </rPr>
          <t>Miroslav Mitkov:</t>
        </r>
        <r>
          <rPr>
            <sz val="9"/>
            <color indexed="81"/>
            <rFont val="Tahoma"/>
            <family val="2"/>
            <charset val="204"/>
          </rPr>
          <t xml:space="preserve">
Същото като предходния коментар
</t>
        </r>
      </text>
    </comment>
    <comment ref="C105" authorId="0">
      <text>
        <r>
          <rPr>
            <b/>
            <sz val="9"/>
            <color indexed="81"/>
            <rFont val="Tahoma"/>
            <family val="2"/>
            <charset val="204"/>
          </rPr>
          <t>Miroslav Mitkov:</t>
        </r>
        <r>
          <rPr>
            <sz val="9"/>
            <color indexed="81"/>
            <rFont val="Tahoma"/>
            <family val="2"/>
            <charset val="204"/>
          </rPr>
          <t xml:space="preserve">
Виж определенията</t>
        </r>
      </text>
    </comment>
    <comment ref="C108" authorId="0">
      <text>
        <r>
          <rPr>
            <b/>
            <sz val="9"/>
            <color indexed="81"/>
            <rFont val="Tahoma"/>
            <family val="2"/>
            <charset val="204"/>
          </rPr>
          <t>Miroslav Mitkov:</t>
        </r>
        <r>
          <rPr>
            <sz val="9"/>
            <color indexed="81"/>
            <rFont val="Tahoma"/>
            <family val="2"/>
            <charset val="204"/>
          </rPr>
          <t xml:space="preserve">
Същото като предходния коментар
</t>
        </r>
      </text>
    </comment>
    <comment ref="C109" authorId="0">
      <text>
        <r>
          <rPr>
            <b/>
            <sz val="9"/>
            <color indexed="81"/>
            <rFont val="Tahoma"/>
            <family val="2"/>
            <charset val="204"/>
          </rPr>
          <t>Miroslav Mitkov:</t>
        </r>
        <r>
          <rPr>
            <sz val="9"/>
            <color indexed="81"/>
            <rFont val="Tahoma"/>
            <family val="2"/>
            <charset val="204"/>
          </rPr>
          <t xml:space="preserve">
Виж определенията</t>
        </r>
      </text>
    </comment>
  </commentList>
</comments>
</file>

<file path=xl/sharedStrings.xml><?xml version="1.0" encoding="utf-8"?>
<sst xmlns="http://schemas.openxmlformats.org/spreadsheetml/2006/main" count="3667" uniqueCount="1618">
  <si>
    <t>Приложение № 2</t>
  </si>
  <si>
    <t>№</t>
  </si>
  <si>
    <t>Описание на параметъра</t>
  </si>
  <si>
    <t>F1</t>
  </si>
  <si>
    <t>..............................................</t>
  </si>
  <si>
    <t>(подпис)</t>
  </si>
  <si>
    <t>(подпис и печат)</t>
  </si>
  <si>
    <t>iE5</t>
  </si>
  <si>
    <t>iD51a</t>
  </si>
  <si>
    <t>iD62a</t>
  </si>
  <si>
    <t>iD63a</t>
  </si>
  <si>
    <t>iD64a</t>
  </si>
  <si>
    <t>iD65a</t>
  </si>
  <si>
    <t>D51a</t>
  </si>
  <si>
    <t>D62a</t>
  </si>
  <si>
    <t>D63a</t>
  </si>
  <si>
    <t>D64a</t>
  </si>
  <si>
    <t>D65a</t>
  </si>
  <si>
    <t>iD51b</t>
  </si>
  <si>
    <t>iD62b</t>
  </si>
  <si>
    <t>iD63b</t>
  </si>
  <si>
    <t>iD64b</t>
  </si>
  <si>
    <t>iD65b</t>
  </si>
  <si>
    <t>D51b</t>
  </si>
  <si>
    <t>D62b</t>
  </si>
  <si>
    <t>D63b</t>
  </si>
  <si>
    <t>D64b</t>
  </si>
  <si>
    <t>D65b</t>
  </si>
  <si>
    <t>iD98</t>
  </si>
  <si>
    <t>iD99</t>
  </si>
  <si>
    <t>D35</t>
  </si>
  <si>
    <t>D35n</t>
  </si>
  <si>
    <t>H1n</t>
  </si>
  <si>
    <t>n</t>
  </si>
  <si>
    <t>〖F1〗_n</t>
  </si>
  <si>
    <t>iC8</t>
  </si>
  <si>
    <t>D28</t>
  </si>
  <si>
    <t>C8</t>
  </si>
  <si>
    <t>F16</t>
  </si>
  <si>
    <t>E10</t>
  </si>
  <si>
    <t>wE4</t>
  </si>
  <si>
    <t>wE2</t>
  </si>
  <si>
    <t>iD97</t>
  </si>
  <si>
    <t>wD38a</t>
  </si>
  <si>
    <t>wD38b</t>
  </si>
  <si>
    <t>wD44</t>
  </si>
  <si>
    <t>wC1</t>
  </si>
  <si>
    <t>wF14</t>
  </si>
  <si>
    <t>zD1</t>
  </si>
  <si>
    <t>A3</t>
  </si>
  <si>
    <t>wD13</t>
  </si>
  <si>
    <t>wA2</t>
  </si>
  <si>
    <t>wA15</t>
  </si>
  <si>
    <t>wA14</t>
  </si>
  <si>
    <t xml:space="preserve">D20 </t>
  </si>
  <si>
    <t>Ефективност на разходите за услугата доставяне на вода на потребителите</t>
  </si>
  <si>
    <t>G1</t>
  </si>
  <si>
    <t>G4</t>
  </si>
  <si>
    <t xml:space="preserve">Ефективност на разходите за услугата отвеждане на отпадъчни води </t>
  </si>
  <si>
    <t>iwG1b</t>
  </si>
  <si>
    <t>iwG4b</t>
  </si>
  <si>
    <t xml:space="preserve">Ефективност на разходите за услугата пречистване на отпадъчни води </t>
  </si>
  <si>
    <t>iwG1c</t>
  </si>
  <si>
    <t>iwG4c</t>
  </si>
  <si>
    <t>iG99</t>
  </si>
  <si>
    <t>iG98</t>
  </si>
  <si>
    <t>iG97</t>
  </si>
  <si>
    <t>iF98</t>
  </si>
  <si>
    <t>F24</t>
  </si>
  <si>
    <t>wF20</t>
  </si>
  <si>
    <t xml:space="preserve">iF88 </t>
  </si>
  <si>
    <t>iF99</t>
  </si>
  <si>
    <t>F23</t>
  </si>
  <si>
    <t>iF17</t>
  </si>
  <si>
    <t>F18</t>
  </si>
  <si>
    <t>F19</t>
  </si>
  <si>
    <t>wF12</t>
  </si>
  <si>
    <t xml:space="preserve">wF13 </t>
  </si>
  <si>
    <t xml:space="preserve">wF14 </t>
  </si>
  <si>
    <t xml:space="preserve">iwF15 </t>
  </si>
  <si>
    <t xml:space="preserve">wF16 </t>
  </si>
  <si>
    <t xml:space="preserve">iF89 </t>
  </si>
  <si>
    <t xml:space="preserve">iE8 </t>
  </si>
  <si>
    <t>iE10</t>
  </si>
  <si>
    <t xml:space="preserve">iwE8 </t>
  </si>
  <si>
    <t xml:space="preserve">iwE10 </t>
  </si>
  <si>
    <t>B1</t>
  </si>
  <si>
    <t>C24</t>
  </si>
  <si>
    <t>wB1</t>
  </si>
  <si>
    <t>C29</t>
  </si>
  <si>
    <t>Параметър</t>
  </si>
  <si>
    <t>5.3</t>
  </si>
  <si>
    <t>5.4</t>
  </si>
  <si>
    <t>Приложение към бизнес план</t>
  </si>
  <si>
    <t>Данни за В и К оператора</t>
  </si>
  <si>
    <t>Описание</t>
  </si>
  <si>
    <t>попълва се от В и К оператора</t>
  </si>
  <si>
    <t>Наименование на В и К оператора:</t>
  </si>
  <si>
    <t>1.1</t>
  </si>
  <si>
    <t>1.2</t>
  </si>
  <si>
    <t>град:</t>
  </si>
  <si>
    <t>1.3</t>
  </si>
  <si>
    <t>ЕИК по БУЛСТАТ:</t>
  </si>
  <si>
    <t>2</t>
  </si>
  <si>
    <t>Период на данните</t>
  </si>
  <si>
    <t>2.1</t>
  </si>
  <si>
    <t>Отчетна година:</t>
  </si>
  <si>
    <t>2.2</t>
  </si>
  <si>
    <t>Прогнозни години:</t>
  </si>
  <si>
    <t>2015 г.</t>
  </si>
  <si>
    <t>3</t>
  </si>
  <si>
    <t>4</t>
  </si>
  <si>
    <t>Отговорни за изготвянето</t>
  </si>
  <si>
    <t>4.1</t>
  </si>
  <si>
    <t>Главен счетоводител:</t>
  </si>
  <si>
    <t>4.2</t>
  </si>
  <si>
    <t>4.3</t>
  </si>
  <si>
    <t>5</t>
  </si>
  <si>
    <t>Опис на приложенията</t>
  </si>
  <si>
    <t>5.1</t>
  </si>
  <si>
    <t>Приложение 1</t>
  </si>
  <si>
    <t>Общи данни за В и К оператора</t>
  </si>
  <si>
    <t>Справки:</t>
  </si>
  <si>
    <t>Справка № 1 - Анкетна карта</t>
  </si>
  <si>
    <t>5.2</t>
  </si>
  <si>
    <t>Приложение 2</t>
  </si>
  <si>
    <t>Техническа част на бизнес плана</t>
  </si>
  <si>
    <t>Приложение 3</t>
  </si>
  <si>
    <t>Икономическа част на бизнес плана</t>
  </si>
  <si>
    <t>Приложение 4</t>
  </si>
  <si>
    <t xml:space="preserve">Социална поносимост и социални дейности </t>
  </si>
  <si>
    <t>2016 г.</t>
  </si>
  <si>
    <t>2017 г.</t>
  </si>
  <si>
    <t>2018 г.</t>
  </si>
  <si>
    <t>2019 г.</t>
  </si>
  <si>
    <t>2020 г.</t>
  </si>
  <si>
    <t>ПК1</t>
  </si>
  <si>
    <t>ПК2а</t>
  </si>
  <si>
    <t>ПК2б</t>
  </si>
  <si>
    <t>ПК2в</t>
  </si>
  <si>
    <t>ПК3</t>
  </si>
  <si>
    <t>ПК5</t>
  </si>
  <si>
    <t>ПК6a</t>
  </si>
  <si>
    <t>ПК7а</t>
  </si>
  <si>
    <t>ПК7б</t>
  </si>
  <si>
    <t>ПК8</t>
  </si>
  <si>
    <t>ПК9</t>
  </si>
  <si>
    <t>ПК10</t>
  </si>
  <si>
    <t>ПК11а</t>
  </si>
  <si>
    <t>ПК11б</t>
  </si>
  <si>
    <t>ПК11в</t>
  </si>
  <si>
    <t>ПК11г</t>
  </si>
  <si>
    <t>ПК12а</t>
  </si>
  <si>
    <t>ПК12б</t>
  </si>
  <si>
    <t>ПК12в</t>
  </si>
  <si>
    <t>ПК12г</t>
  </si>
  <si>
    <t>ПК13</t>
  </si>
  <si>
    <t>ПК14а</t>
  </si>
  <si>
    <t>ПК14б</t>
  </si>
  <si>
    <t>ПК15а</t>
  </si>
  <si>
    <t>ПК15б</t>
  </si>
  <si>
    <t>Формула</t>
  </si>
  <si>
    <t>Източник на информация</t>
  </si>
  <si>
    <t>Пояснения</t>
  </si>
  <si>
    <t xml:space="preserve"> iD51a=iD62a+iD63a+iD64a+iD65a</t>
  </si>
  <si>
    <t>D51a=D62a+D63a+D64a+D65a</t>
  </si>
  <si>
    <t xml:space="preserve"> iD51b=iD62b+iD63b+iD64b+iD65b</t>
  </si>
  <si>
    <t>D51b=D62b+D63b+D64b+D65b</t>
  </si>
  <si>
    <t>ПК3=(D35/F1*24*365)*1000</t>
  </si>
  <si>
    <t xml:space="preserve">Сумата от всички случаи в разглежданият период (календарна година), на произведенията между броя на засегнатото население от прекъсване на водоснабдяването и съответстващото му време в часове (брой засегнато население*'часове). </t>
  </si>
  <si>
    <t xml:space="preserve">Общият брой на засегнато население за разглежданият период от прекъсване на водоснабдяването, независимо от причината, умножено по съответстващото време на прекъсването. </t>
  </si>
  <si>
    <t>ПК5=D28/C8*100</t>
  </si>
  <si>
    <t>ПК7a=(wE4/iE5)*100</t>
  </si>
  <si>
    <t>ПК7б=(wE2/iE5)*100</t>
  </si>
  <si>
    <t>ПК9=(wd38a+wD38b+wD44)/wC1*100</t>
  </si>
  <si>
    <t>Сумират се броя на запушванията на канализационната мрежа в сградните канализационни отклонения, в частта за която е отговорен ВиК оператора за разглеждания период (календарната година)</t>
  </si>
  <si>
    <t>ПК10=wF14/E10*10000</t>
  </si>
  <si>
    <t>ПК11a=zD1/A3</t>
  </si>
  <si>
    <t>ПК11б=wD13/wA2</t>
  </si>
  <si>
    <t>ПК12a=G1/G4</t>
  </si>
  <si>
    <t>ЕСРО</t>
  </si>
  <si>
    <t>ПК12б=iwG1b/iwG4b</t>
  </si>
  <si>
    <t>ПК12в=iwG1c/iwG4c</t>
  </si>
  <si>
    <t>iF98=F24+wF20+iF88</t>
  </si>
  <si>
    <t>iF99=F23+wF12+iF89</t>
  </si>
  <si>
    <t xml:space="preserve">F23=F16+iF17+F18+F19 </t>
  </si>
  <si>
    <t>wF12=wF13+wF14+iwF15 +wF16</t>
  </si>
  <si>
    <t>ПК15a=B1/C24*1000</t>
  </si>
  <si>
    <t>Система за администриране на човешки ресурси</t>
  </si>
  <si>
    <t>Регистър на активите</t>
  </si>
  <si>
    <t>ПК15б=wB1/C29*1000</t>
  </si>
  <si>
    <t>Приложение № 1</t>
  </si>
  <si>
    <t>Справка № 1
Анкетна карта</t>
  </si>
  <si>
    <t>1</t>
  </si>
  <si>
    <t>Данни за търговското дружество</t>
  </si>
  <si>
    <t>Наименование на дружеството:</t>
  </si>
  <si>
    <t>Седалище:</t>
  </si>
  <si>
    <t>1.4</t>
  </si>
  <si>
    <t>Адрес на управление:</t>
  </si>
  <si>
    <t>1.5</t>
  </si>
  <si>
    <t>Дружеството се представлява от:</t>
  </si>
  <si>
    <t>1.6</t>
  </si>
  <si>
    <t>Рег.номер по ЗЗЛД в КЗЛД:</t>
  </si>
  <si>
    <t>1.7</t>
  </si>
  <si>
    <t>Рег.номер по ЗДДС, издаден на:</t>
  </si>
  <si>
    <t>1.8</t>
  </si>
  <si>
    <t>В и К оператор по силата на:</t>
  </si>
  <si>
    <t>1.9</t>
  </si>
  <si>
    <t>Съдружници/акционери; дялове</t>
  </si>
  <si>
    <t>Данни за кореспонденция</t>
  </si>
  <si>
    <t xml:space="preserve">Адрес за кореспонденция: </t>
  </si>
  <si>
    <t xml:space="preserve">Лица за кореспонденция: </t>
  </si>
  <si>
    <t>2.2.1</t>
  </si>
  <si>
    <t>сл. тел.:</t>
  </si>
  <si>
    <t>мобилен тел.:</t>
  </si>
  <si>
    <t xml:space="preserve">факс: </t>
  </si>
  <si>
    <t>e-mail:</t>
  </si>
  <si>
    <t>2.2.2</t>
  </si>
  <si>
    <t>2.2.3</t>
  </si>
  <si>
    <t>2.2.4</t>
  </si>
  <si>
    <t>2.2.5</t>
  </si>
  <si>
    <t xml:space="preserve">Секретар: </t>
  </si>
  <si>
    <t>Мярка</t>
  </si>
  <si>
    <t>І.</t>
  </si>
  <si>
    <t>Доставяне на вода на потребители</t>
  </si>
  <si>
    <t>2.3</t>
  </si>
  <si>
    <t>%</t>
  </si>
  <si>
    <t>3.1</t>
  </si>
  <si>
    <t>3.2</t>
  </si>
  <si>
    <t>ІІ.</t>
  </si>
  <si>
    <t>Отвеждане на отпадъчни води</t>
  </si>
  <si>
    <t>Отведени количества отпадъчни води</t>
  </si>
  <si>
    <t>7.1</t>
  </si>
  <si>
    <t>Битови и приравнените към тях обществени, търговски и др.</t>
  </si>
  <si>
    <t xml:space="preserve">Количества отведени отпадъчни води </t>
  </si>
  <si>
    <t>7.2</t>
  </si>
  <si>
    <t>Промишлени и други стопански потребители</t>
  </si>
  <si>
    <t>степен на замърсяване 1</t>
  </si>
  <si>
    <t>степен на замърсяване 2</t>
  </si>
  <si>
    <t>степен на замърсяване 3</t>
  </si>
  <si>
    <t>ІІІ.</t>
  </si>
  <si>
    <t>Пречистване на отпадъчни води</t>
  </si>
  <si>
    <t>Пречистени  количества отпадъчни води</t>
  </si>
  <si>
    <t>8.1</t>
  </si>
  <si>
    <t xml:space="preserve">Количества пречистени отпадъчни води </t>
  </si>
  <si>
    <t>Пречистени количества отпадъчна вода според:</t>
  </si>
  <si>
    <t>(попис)</t>
  </si>
  <si>
    <t>Указания за попълване на справката</t>
  </si>
  <si>
    <t>1. Попълват се само клетките в жълт цвят</t>
  </si>
  <si>
    <t>Приложение № 3</t>
  </si>
  <si>
    <t>(хил. лв.)</t>
  </si>
  <si>
    <t>Дейности</t>
  </si>
  <si>
    <t>Отчет</t>
  </si>
  <si>
    <t>Разчет</t>
  </si>
  <si>
    <t>Общо:</t>
  </si>
  <si>
    <t>Остатъчна стойност от предишния период</t>
  </si>
  <si>
    <t>Получен през периода</t>
  </si>
  <si>
    <t>Погасяване на главници</t>
  </si>
  <si>
    <t>Лихви</t>
  </si>
  <si>
    <t>Лихви (%)</t>
  </si>
  <si>
    <t>Общо погасителни вноски</t>
  </si>
  <si>
    <t>Остатък главница</t>
  </si>
  <si>
    <t>.....................................................</t>
  </si>
  <si>
    <t xml:space="preserve"> </t>
  </si>
  <si>
    <t xml:space="preserve">№ </t>
  </si>
  <si>
    <t>Наименование</t>
  </si>
  <si>
    <t>Собствени средства (хил.лв.)</t>
  </si>
  <si>
    <t>Заеми (хил.лв.)</t>
  </si>
  <si>
    <t>1.</t>
  </si>
  <si>
    <t>2.</t>
  </si>
  <si>
    <t>Доставяне на вода на потребителите</t>
  </si>
  <si>
    <t>Отвеждане на отпадъчните води</t>
  </si>
  <si>
    <t>Пречистване на отпадъчните води</t>
  </si>
  <si>
    <t>Доставяне вода на потребителите</t>
  </si>
  <si>
    <t>Съоръжения</t>
  </si>
  <si>
    <t>Транспортни средства</t>
  </si>
  <si>
    <t>Други ДМА</t>
  </si>
  <si>
    <t xml:space="preserve">Програмни продукти </t>
  </si>
  <si>
    <t>Продукти от развойна дейност</t>
  </si>
  <si>
    <t>Други ДНМА</t>
  </si>
  <si>
    <t>Земя</t>
  </si>
  <si>
    <t>Годишна амортизационна квота</t>
  </si>
  <si>
    <t>3.</t>
  </si>
  <si>
    <t xml:space="preserve">Начислена до момента амортизация </t>
  </si>
  <si>
    <t>4.</t>
  </si>
  <si>
    <t>Балансова стойност</t>
  </si>
  <si>
    <t>Разходи по икономически елементи</t>
  </si>
  <si>
    <t>Регулирана дейност</t>
  </si>
  <si>
    <t>Нерегулирана дейност</t>
  </si>
  <si>
    <t>Разходи за материали</t>
  </si>
  <si>
    <t xml:space="preserve">материали </t>
  </si>
  <si>
    <t xml:space="preserve"> - за обеззаразяване</t>
  </si>
  <si>
    <t xml:space="preserve"> - за коагуланти</t>
  </si>
  <si>
    <t xml:space="preserve"> - за флокуланти</t>
  </si>
  <si>
    <t xml:space="preserve"> - за ЛТК (лабораторно-технологични комплекси)</t>
  </si>
  <si>
    <t>електроенергия за технологични нужди</t>
  </si>
  <si>
    <t>горива и смазочни материали</t>
  </si>
  <si>
    <t>1.3.1</t>
  </si>
  <si>
    <t xml:space="preserve"> -за технологични нужди</t>
  </si>
  <si>
    <t xml:space="preserve"> -за транспортни средства и механизация</t>
  </si>
  <si>
    <t>работно облекло</t>
  </si>
  <si>
    <t>канцеларски материали</t>
  </si>
  <si>
    <t>други</t>
  </si>
  <si>
    <t>Разходи за външни услуги</t>
  </si>
  <si>
    <t>застраховки</t>
  </si>
  <si>
    <t>разходи за доставяне на вода на входа на ВС от друг доставчик</t>
  </si>
  <si>
    <t>2.4</t>
  </si>
  <si>
    <t>наеми, в т.ч. и оперативен лизинг</t>
  </si>
  <si>
    <t>2.5</t>
  </si>
  <si>
    <t>съобщителни услуги</t>
  </si>
  <si>
    <t>2.6</t>
  </si>
  <si>
    <t>транспортни услуги</t>
  </si>
  <si>
    <t>2.7</t>
  </si>
  <si>
    <t>вода, осветление и отопление</t>
  </si>
  <si>
    <t>2.8</t>
  </si>
  <si>
    <t>разходи за публикации</t>
  </si>
  <si>
    <t>2.9</t>
  </si>
  <si>
    <t xml:space="preserve"> - юридически</t>
  </si>
  <si>
    <t xml:space="preserve"> - финансово-счетоводни и одиторски</t>
  </si>
  <si>
    <t xml:space="preserve"> - технически</t>
  </si>
  <si>
    <t>2.10</t>
  </si>
  <si>
    <t>въоръжена и противопожарна охрана</t>
  </si>
  <si>
    <t>2.11</t>
  </si>
  <si>
    <t>суми по договори за инкасиране</t>
  </si>
  <si>
    <t>2.12</t>
  </si>
  <si>
    <t>съдебни разходи</t>
  </si>
  <si>
    <t>2.13</t>
  </si>
  <si>
    <t>3.1.</t>
  </si>
  <si>
    <t>3.2.</t>
  </si>
  <si>
    <t>разходи за трудови възнаграждения</t>
  </si>
  <si>
    <t>суми по граждански договори и хонорари</t>
  </si>
  <si>
    <t>социални разходи</t>
  </si>
  <si>
    <t>Други разходи</t>
  </si>
  <si>
    <t>6.1</t>
  </si>
  <si>
    <t>безплатна храна, съгласно нормативен документ</t>
  </si>
  <si>
    <t>6.2</t>
  </si>
  <si>
    <t>охрана на труда</t>
  </si>
  <si>
    <t>6.3</t>
  </si>
  <si>
    <t>служебни карти и пътувания</t>
  </si>
  <si>
    <t>6.4</t>
  </si>
  <si>
    <t>командировки</t>
  </si>
  <si>
    <t>6.5</t>
  </si>
  <si>
    <t>ОБЩО РАЗХОДИ</t>
  </si>
  <si>
    <t>Групи потребители</t>
  </si>
  <si>
    <t>Приложение № 4</t>
  </si>
  <si>
    <t>Показател</t>
  </si>
  <si>
    <t xml:space="preserve">Мярка </t>
  </si>
  <si>
    <t xml:space="preserve">Цена за доставяне на вода на потребителите </t>
  </si>
  <si>
    <r>
      <t>лв./куб.м (</t>
    </r>
    <r>
      <rPr>
        <i/>
        <sz val="9"/>
        <rFont val="Times New Roman"/>
        <family val="1"/>
        <charset val="204"/>
      </rPr>
      <t>без ДДС</t>
    </r>
    <r>
      <rPr>
        <sz val="9"/>
        <rFont val="Times New Roman"/>
        <family val="1"/>
        <charset val="204"/>
      </rPr>
      <t>)</t>
    </r>
  </si>
  <si>
    <t xml:space="preserve">Цена за отвеждане на отпадъчни води  </t>
  </si>
  <si>
    <t xml:space="preserve">Цена за пречистване на отпадъчни води  </t>
  </si>
  <si>
    <r>
      <t>лв./куб.м (</t>
    </r>
    <r>
      <rPr>
        <b/>
        <i/>
        <sz val="9"/>
        <rFont val="Times New Roman"/>
        <family val="1"/>
        <charset val="204"/>
      </rPr>
      <t>с ДДС</t>
    </r>
    <r>
      <rPr>
        <b/>
        <sz val="9"/>
        <rFont val="Times New Roman"/>
        <family val="1"/>
        <charset val="204"/>
      </rPr>
      <t>)</t>
    </r>
  </si>
  <si>
    <t>Минимално битово потребление</t>
  </si>
  <si>
    <t>куб.м/мес. на 1 човек</t>
  </si>
  <si>
    <t>лева</t>
  </si>
  <si>
    <t>Средно месечен доход на лице от домакинството в региона</t>
  </si>
  <si>
    <t>лева за месец</t>
  </si>
  <si>
    <t>Социална поносимост на цената на ВиК услугите</t>
  </si>
  <si>
    <t xml:space="preserve">лв./куб.м </t>
  </si>
  <si>
    <t xml:space="preserve">Описание </t>
  </si>
  <si>
    <t>Възвръщаемост за съответната В и К услуга</t>
  </si>
  <si>
    <t>хил.лв.</t>
  </si>
  <si>
    <t>Признати годишни разходи за съответната В и К услуга</t>
  </si>
  <si>
    <t>Необходими годишни приходи за съответната В и К услуга</t>
  </si>
  <si>
    <t>Отведени и пречистени количества вода</t>
  </si>
  <si>
    <t>Количества за битови и приравнени на тях потребители</t>
  </si>
  <si>
    <t>Количества за промишлени и други стопански потребители според степента на замърсяване</t>
  </si>
  <si>
    <t xml:space="preserve"> Коефициенти за разпределение на необходимите приходи</t>
  </si>
  <si>
    <t>К-т за степен на замърсеност на отведeни и отпадъчни води</t>
  </si>
  <si>
    <t>Коефициент за замърсеност степен 1</t>
  </si>
  <si>
    <t>Коефициент за замърсеност степен 2</t>
  </si>
  <si>
    <t>Коефициент за замърсеност степен 3</t>
  </si>
  <si>
    <t>Регулаторна база на активите</t>
  </si>
  <si>
    <t xml:space="preserve">Оборотен капитал </t>
  </si>
  <si>
    <t>Показатели за определяне на небходимия оборотен капитал (ОК)</t>
  </si>
  <si>
    <t>5.</t>
  </si>
  <si>
    <t>Нетен цикъл на оборотния капитал</t>
  </si>
  <si>
    <t>дни</t>
  </si>
  <si>
    <t>6.</t>
  </si>
  <si>
    <t>Брой нетни цикли на оборотния капитал в годината</t>
  </si>
  <si>
    <t>-</t>
  </si>
  <si>
    <t>7.</t>
  </si>
  <si>
    <t>Годишни парични разходи за дейността "Доставяне на вода на потребителите"</t>
  </si>
  <si>
    <t>Признати годишни разходи за дейността</t>
  </si>
  <si>
    <t>8.</t>
  </si>
  <si>
    <t>Годишни парични разходи за дейността "Отвеждане на отпадъчни води"</t>
  </si>
  <si>
    <t>Годишни парични разходи за дейността "Пречистване на отпадъчни води"</t>
  </si>
  <si>
    <t>ОК за дейността "Доставяне на вода на потребителите"</t>
  </si>
  <si>
    <t>ОК за дейността "Отвеждане на отпадъчни води"</t>
  </si>
  <si>
    <t>ОК за дейността "Пречистване на отпадъчни води"</t>
  </si>
  <si>
    <t>Собствен капитал</t>
  </si>
  <si>
    <t>хил. лв.</t>
  </si>
  <si>
    <t>Привлечен капитал в т.ч.</t>
  </si>
  <si>
    <t>Среднопретеглена норма на възвръщаемост на заемите по 2.1</t>
  </si>
  <si>
    <t xml:space="preserve">Дългосрочни заеми, с които са придобити активи  по договори за финансов лизинг </t>
  </si>
  <si>
    <t>Среднопретеглена норма на възвръщаемост на заемите по 2.3</t>
  </si>
  <si>
    <t>Краткосрочни заеми</t>
  </si>
  <si>
    <t>Среднопретеглена норма на възвръщаемост на заемите по 2.5</t>
  </si>
  <si>
    <t>Данъчни задължения</t>
  </si>
  <si>
    <t>Норма на възвращаемост на привлечения капитал</t>
  </si>
  <si>
    <t>Дял на собствения капитал</t>
  </si>
  <si>
    <t>Дял на привлечения капитал</t>
  </si>
  <si>
    <t>Възвръщаемост за доставяне на вода</t>
  </si>
  <si>
    <t>8.3</t>
  </si>
  <si>
    <t>Възвръщаемост за отвеждане</t>
  </si>
  <si>
    <t>8.4</t>
  </si>
  <si>
    <t>Възвръщаемост за пречистване</t>
  </si>
  <si>
    <t xml:space="preserve">Възвръщаемост </t>
  </si>
  <si>
    <t>лв./куб.м</t>
  </si>
  <si>
    <t>Инвестиции</t>
  </si>
  <si>
    <t xml:space="preserve">Дългосрочни заеми, без договори за финансов лизинг </t>
  </si>
  <si>
    <t>Верификация</t>
  </si>
  <si>
    <t>Верифициране на данните се извършва с предоставяне на информация от системата за фактуриране на ВиК оператора и регистрите на НСИ.</t>
  </si>
  <si>
    <t>Система за фактуриране на ВиК оператора и регистрите на НСИ</t>
  </si>
  <si>
    <t xml:space="preserve">Променливата F1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доставяне на вода;
- се обслужва от друг В и К оператор.
В случаите, когато има частично предоставяне на услугата доставяне на вода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доставяне на вода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</si>
  <si>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Регистър на НСИ</t>
  </si>
  <si>
    <t xml:space="preserve">Променливата iE5 се изчислява въз основа на данни от Националния статистически институт (НСИ). </t>
  </si>
  <si>
    <t>Верифицирането на данните се извършва с предоставяне на писмено становище от съответната районна здравна инспекция (РЗИ) за отчетната година.</t>
  </si>
  <si>
    <t>Регистър за лабораторни изследвания (или еквивалентен), поддържан от В и К оператора</t>
  </si>
  <si>
    <t>При изчисляването на iD51a се сумират направените анализи за различните показатели за качеството на водата, предназначена за питейно-битови цели в големи зони на водоснабдяване, определени в Приложение №1 на  Наредба №9 от 16.03.2001 г. за качествата на водата предназначена за питейно-битови цели , отговарящи на нормативните изисквания за големи зони на водоснабдяване от ВиК оператора за отчетната година.</t>
  </si>
  <si>
    <t>При изчисляването D51a се сумират направените анализи за различните показатели за качеството на водата, предназначена за питейно-битови цели в големи зони на водоснабдяване, определени в Приложение №1 на  Наредба №9 от 16.03.2001 г. за качествата на водата предназначена за питейно-битови цели от ВиК оператора за отчетната година. От получената сума се изваждат броя на анализите, които показват отклонения, разрешени по реда на наредбата по чл. 135, т. 3 от Закона за водите .</t>
  </si>
  <si>
    <t>При изчисляването iD51b се сумира общия брой на направените анализи за различните показатели за качеството на водата, предназначена за питейно-битови цели в малки зони на водоснабдяване, определени в Приложение №1 на  Наредба №9 от 16.03.2001 г. за качествата на водата предназначена за питейно-битови цели , отговарящи на нормативните изисквания за малки зони на водоснабдяване от ВиК оператора за отчетната година.</t>
  </si>
  <si>
    <t>При изчисляването D51b се сумира общия брой на направените анализи за различните показатели за качеството на водата, предназначена за питейно-битови цели в малки зони на водоснабдяване, определени в Приложение №1 на  Наредба №9 от 16.03.2001 г. за качествата на водата предназначена за питейно-битови цели от ВиК оператора за отчетната година. От получената сума се изваждат броя на анализите, които показват отклонения, разрешени по реда на наредбата по чл. 135, т. 3 от Закона за водите.</t>
  </si>
  <si>
    <t>Верифицирането на данните се извършва с предоставяне на писмено становище от съответната РЗИ за отчетната година.</t>
  </si>
  <si>
    <t>При изчисляването на iD98 се сумират всички зони на водоснабдяване, които са с изпълнен мониторинг за отчетната година.</t>
  </si>
  <si>
    <t>При изчисляването на iD99 се сумират всички зони на водоснабдяване в обслужваната от ВиК оператора територия, за отчетната година.</t>
  </si>
  <si>
    <t>Верифицирането на данните се извършва с предоставяне на информация от регистъра на авариите, система за фактуриране и ГИС</t>
  </si>
  <si>
    <t>Регистър за авариите (или еквивалентен), поддържан от ВиК оператора</t>
  </si>
  <si>
    <t>Система за фактуриране на ВиК оператора, ГИС или еквивалентна база данни</t>
  </si>
  <si>
    <t>Засегнато население от прекъсване на водоснабдяването се определя на база на справка от географската информационна система (ГИС) на В и К оператора или друга база данни, която показва взаимовръзка на потребителите и водоснабдителната мрежа. Въз основа на тази справка се установява броят на засегнатите потребители при съответното прекъсване на водоснабдяването. Полученият брой се умножава по средния брой на лица от домакинство, приложим за съответната територия, по данни от последното преброяване на НСИ.</t>
  </si>
  <si>
    <t>Верифицирането на данните се извършва с предоставяне на информация от система за фактуриране на ВиК оператора, ГИС или еквивалентна база данни</t>
  </si>
  <si>
    <t>Система за фактуриране на ВиК оператора, база данни</t>
  </si>
  <si>
    <t>ГИС или еквивалентна база данни</t>
  </si>
  <si>
    <t>Променливата iC8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от първия и последния месец на отчетната година, разделен на две.</t>
  </si>
  <si>
    <t>Верифицирането на данните се извършва с предоставяне на информация от регистър за авриите, ГИС или еквивалентна база данни</t>
  </si>
  <si>
    <t xml:space="preserve">Променливата 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от първия и последния месец на отчетната година, разделен на две. При изчисляването на променливата се включват само водопроводи за питейна вода и не се включват водопроводи, които още не са в експлоатация или са изведени от експлоатация. </t>
  </si>
  <si>
    <t>E10 се изчислява като средна стойност, равна на сбора на броя на потребителите регистрирани в системата за фактуриране на ВиК оператора за първия и последния месец на отчетната година, разделен на две.</t>
  </si>
  <si>
    <t>Системата за фактуриране на ВиК оператора и регистрите на НСИ</t>
  </si>
  <si>
    <t xml:space="preserve">
Променливата wE4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отвеждане на отпадъчни води;  
- не се обслужва от ВиК оператора.
В случаите, когато има частично предоставяне на услугата отвеждане на отпадъчни  води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отвеждане на отпадъчни води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</si>
  <si>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Верифицирането на данните се извършва с предоставяне на информация от системата за фактуриране на ВиК оператора и регистрите на НСИ.</t>
  </si>
  <si>
    <t xml:space="preserve">Променливата wE2 се изчислява по следния начин: от общия брой на населението, регистрирано по постоянен адрес (iE5), се изважда броят на населението, което: 
- попада в обслужваната от ВиК оператора територия, но не получава услугата пречистване на отпадъчни води;
- не се обслужва от ВиК оператора.
В случаите, когато има частично предоставяне на услугата пречистване на отпадъчни  води в определено населено място, броят на населението, което ползва услугата, се изважда от общия брой на населението в съответното населено място. Населението, което получава услугата пречистване на отпадъчни води в частично обслужваните населени места, се изчислява, като броя на потребителите, които получават услугата, се умножи по средния брой на лицата от домакинство, приложим за съответното населено място, по данни от последното преброяване на НСИ.
</t>
  </si>
  <si>
    <t>Верифициране на информацията се извършва с предоставяне на информация от Министерството на околната среда и водите (МОСВ),  регистъра за лабораторни изследвания (или еквивалентен), плановете за взимане на проби и разрешителните за заустване.</t>
  </si>
  <si>
    <t>При изчисляването на iD97 се сумира броят на пробите, отговарящи на условията, включени в разрешителните за заустване, за отчетната година.</t>
  </si>
  <si>
    <t>Верифициране на данните се извършва с предоставяне на информация от съответните регистри.</t>
  </si>
  <si>
    <t>При изчисляването на wD38a се сумират запушванията на канализационната мрежа, различни от тези в сградните канализационни отклонения и тези, причинени от разрушаване на структурата на канала, за отчетната година. В сбора не се включват запушванията в помпените станции</t>
  </si>
  <si>
    <t>При изчисляването на wD44 се сумират запушванията на канализационната мрежа в резултат на структурно разрушаване на канала за отчетната година.</t>
  </si>
  <si>
    <t>Променливата wC1 се изчислява като средна стойност, равна на сбора на общата дължина на канализационната мрежа за първия и последния месец на календарната година, разделен на две. При изчисляването на променливата не се включва дължината на сградните канализационни отклонения.</t>
  </si>
  <si>
    <t>Верифицирането на информацията се извършва с предоставяне на информация от регистъра на оплакванията от потребители (или еквивалентен) и системата за фактуриране, поддържани от  В и К оператора.</t>
  </si>
  <si>
    <t>Регистър за оплаквания от потребители (или еквивалентен)</t>
  </si>
  <si>
    <t>При изчисляването на wF14 се сумират оплакванията за наводнения на имоти от канализационната система за отчетната година.</t>
  </si>
  <si>
    <t xml:space="preserve">Системата за фактуриране на ВиК оператора </t>
  </si>
  <si>
    <t>Верифицирането на данните се извършва с предоставяне на информация от съответните бази данни и регистъра за производствено-техническо обслужване (или еквивалентен).</t>
  </si>
  <si>
    <t>Регистър за производствено-техническо обслужване (или еквивалентен)</t>
  </si>
  <si>
    <t>При изчисляването на A3(Q4, съгласно Наредба № 1 от 5.05.2006 г. за утвърждаване на Методика за определяне на допустимите загуби на вода във водоснабдителните системи) се сумира общото количество постъпила вода на вход водоснабдителна система  за отчетната година.</t>
  </si>
  <si>
    <t>Верифициране на данните се извършва с предоставяне на информация от съответните бази данни и регистри.</t>
  </si>
  <si>
    <t>При изчисляването на wA2 се сумира общото количество постъпила за пречистване отпадъчна вода на вход ПСОВ  за отчетната година.</t>
  </si>
  <si>
    <t>Верифициране на данните се извършва с предоставяне на информация от регистъра за утайките (или еквивалентен).</t>
  </si>
  <si>
    <t>Регистър за утайките (или еквивалентен)</t>
  </si>
  <si>
    <t>При изчисляването на wA15 се сумира общото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съгласно методите за оползотворяване на утайки описани в Националния план за управление на утайки от градските пречиствателни станции за отпадъчни води в България.</t>
  </si>
  <si>
    <t>При изчисляването на wA14 се сумира общото количество на сухото тегло на утайките от експлоатираните от В и К оператора ПСОВ, произведени през годината, предхождаща отчетната година.</t>
  </si>
  <si>
    <t>Регистър инвестиции (или еквивалентен)</t>
  </si>
  <si>
    <t>При изчисляването на D20 се сумират дължините на подменените и обновени разпределителни и довеждащи водопроводи за отчетната година.</t>
  </si>
  <si>
    <t xml:space="preserve">Променливата C8 се изчислява като средна стойност, равна на сбора на общата дължина на довеждащите водопроводи и разпределителната водопроводна мрежа, експлоатирани от ВиК оператора през първия и последния месец на календарната година, разделен на две. При изчисляването на променливата се включват само водопроводи за питейна вода и не се включват водопроводи, които още не са в експлоатация или са изведени от експлоатация. </t>
  </si>
  <si>
    <t>Верифициране на данните се извършва с предоставяне на информация от ЕСРО.</t>
  </si>
  <si>
    <t>Верифицирането на данните се извършва с предоставяне на информация от регистър на оплаквания от потребители (или еквивалентен).</t>
  </si>
  <si>
    <t xml:space="preserve">Променливата iF98  се изчислява като сбор от отговорените оплаквания от потребители на ВиК оператора за отчетната година от:
 - услуга доставяне на вода
 - услуга отвеждане и пречистване на отпадъчни води
 - фактуриране за услугите по доставяне на вода, отвеждане и пречистване на отпадъчни води.
</t>
  </si>
  <si>
    <t xml:space="preserve">Променливата iF99 се изчислява като сбор от общия брой на оплакванията, регистрирани в регистър на оплаквания от потребители на ВиК оператора за отчетната година, от:
 - услуга доставяне на вода
 - услуга отвеждане и пречистване на отпадъчни води
 - фактуриране за услугите по доставяне на вода, отвеждане и пречистване на отпадъчни води
</t>
  </si>
  <si>
    <t xml:space="preserve">Верифициране на данните се извършва с предоставяне на информация от съответните бази данни.  </t>
  </si>
  <si>
    <t>Бази данни за сключени и изпълнени договори за присъединяване на Ви К оператора</t>
  </si>
  <si>
    <t>Променливата iE8 се изчислява като се съберат всички поземлени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за отчетната година.</t>
  </si>
  <si>
    <t>Променливата iE10 се изчислява като се съберат всички окончателни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t>
  </si>
  <si>
    <t>Верифициране на данните се извършва с предоставяне на информация от съответните бази данни.</t>
  </si>
  <si>
    <t>Променливата iwE8се изчислява като се съберат всички поземлени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за отчетната година.</t>
  </si>
  <si>
    <t>Променливата iwE10 се изчислява като се съберат всички окончателни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t>
  </si>
  <si>
    <t>Верифициране на данните се извършва с предоставяне на информация от програмата за администриране на персонала и регистъра на активите (или еквивалентни бази данни).</t>
  </si>
  <si>
    <t>Програма за администриране на персонала</t>
  </si>
  <si>
    <t>Променливата C24 се изчислява като средна стойност, равна на сбора на броя на сградните водопроводни отклонения за първия и последния месец на календарната година, разделен на две.</t>
  </si>
  <si>
    <t>Променливата C29 се изчислява като средна стойност, равна на сбора на броя на сградните канализационни  отклонения за първия и последния месец на календарната година разделен на две.</t>
  </si>
  <si>
    <t>iD96</t>
  </si>
  <si>
    <t>При изчисляването на iD96 се сумира общия брой проби за качество на отпадъчните води, изискуеми съгласно разрешителните за заустване, за отчетната година.</t>
  </si>
  <si>
    <t>Източници за финансиране, общо, в т.ч.:</t>
  </si>
  <si>
    <t>Планирани инвестиции, общо:</t>
  </si>
  <si>
    <t>График за изграждане по години, (хил.лв.)</t>
  </si>
  <si>
    <t>Отчетна стойност</t>
  </si>
  <si>
    <t>1.1.1</t>
  </si>
  <si>
    <t>1.1.2</t>
  </si>
  <si>
    <t>1.1.3</t>
  </si>
  <si>
    <t>1.1.4</t>
  </si>
  <si>
    <t>Минимален месечен разход за вода на член от домакинството</t>
  </si>
  <si>
    <t xml:space="preserve">Количества доставена вода </t>
  </si>
  <si>
    <t>Регулаторна база на активите, хил.лв.</t>
  </si>
  <si>
    <t>5.5</t>
  </si>
  <si>
    <t>Приложение 5</t>
  </si>
  <si>
    <t>Ценови модел</t>
  </si>
  <si>
    <t>Приложение 6</t>
  </si>
  <si>
    <t>Допълнителни пояснения</t>
  </si>
  <si>
    <t>Справка № 2 - Променливи за изчисление на показателите за качество на предоставяните В и К услуги</t>
  </si>
  <si>
    <t>Справка № 2
Променливи за изчисление на показателите за качество на предоставяните В и К услуги</t>
  </si>
  <si>
    <t xml:space="preserve">Справка № 3
Показатели за качество на предоставяните В и К услуги </t>
  </si>
  <si>
    <t xml:space="preserve">Справка № 3 - Показатели за качество на предоставяните В и К услуги </t>
  </si>
  <si>
    <t>Приложение № 5</t>
  </si>
  <si>
    <t>Допълнителни пояснения към Показателите за качество на предоставяните В и К услуги</t>
  </si>
  <si>
    <t>Ел.енергия</t>
  </si>
  <si>
    <t>кВтч</t>
  </si>
  <si>
    <t>Разход, лв.</t>
  </si>
  <si>
    <t>Изразходвана ел.енергия за административни нужди</t>
  </si>
  <si>
    <t>Общо изразходвана ел.енергия</t>
  </si>
  <si>
    <t>Изразходвана ел. енергия "Ниско напрежение"</t>
  </si>
  <si>
    <t>Изразходвана ел. енергия "Средно напражение"</t>
  </si>
  <si>
    <t>Изразходвана ел. енергия "Високо напрежение"</t>
  </si>
  <si>
    <t>Обобщена справка за консумацията и производството на ел.енергия</t>
  </si>
  <si>
    <t>Енергийна ефективност</t>
  </si>
  <si>
    <t>Средна цена на ел.енергия, лв/кВтч</t>
  </si>
  <si>
    <t>Обобщена справка за произведена и оползотворена/продадена ел.енергия</t>
  </si>
  <si>
    <t>6.1.1</t>
  </si>
  <si>
    <t>6.2.1</t>
  </si>
  <si>
    <t>Описание на проекта</t>
  </si>
  <si>
    <t>Код 
счетоводна сметка 
ДМА</t>
  </si>
  <si>
    <t>ОБЩО ИНВЕСТИЦИИ:</t>
  </si>
  <si>
    <t>ВОДОСНАБДЯВАНЕ:</t>
  </si>
  <si>
    <t xml:space="preserve">рехабилитация и изграждане на нови </t>
  </si>
  <si>
    <t>Сондажи и каптажи</t>
  </si>
  <si>
    <t>Санитарно-охранителни зони</t>
  </si>
  <si>
    <t>Довеждащи съоръжения</t>
  </si>
  <si>
    <t xml:space="preserve">реконструкции и изграждане на нови довеждащи  водопроводи </t>
  </si>
  <si>
    <t>Пречиствателни станции за питейни води</t>
  </si>
  <si>
    <t>сгради,съоръжения и оборудване</t>
  </si>
  <si>
    <t>Помпени станции</t>
  </si>
  <si>
    <t>Хидрофори</t>
  </si>
  <si>
    <t>Рехабилитация  и разширение на водопроводната мрежа над 10 м</t>
  </si>
  <si>
    <t>реконструкции и изграждане на нови  водопроводи над 10 м</t>
  </si>
  <si>
    <t>Сградни водопроводни отклонения</t>
  </si>
  <si>
    <t>подмяна и изграждане на нови</t>
  </si>
  <si>
    <t>Кранове и хидранти</t>
  </si>
  <si>
    <t xml:space="preserve">Управление на налягането </t>
  </si>
  <si>
    <t>Проучване и моделиране на водопроводната мрежа</t>
  </si>
  <si>
    <t>разходи за персонал, външни услуги и СМР за проучване и моделиране</t>
  </si>
  <si>
    <t>разширение на СКАДА и оборудване</t>
  </si>
  <si>
    <t>Лаборатория за питейни води</t>
  </si>
  <si>
    <t>апаратура и оборудване</t>
  </si>
  <si>
    <t>Лекотоварни автомобили за водоснабдяване</t>
  </si>
  <si>
    <t>покупка на нови и капиталов ремонт на съществуващи</t>
  </si>
  <si>
    <t>Тежкотоварни автомобили за водоснабдяване</t>
  </si>
  <si>
    <t>Строителна и специализирана механизация за водоснабдяване</t>
  </si>
  <si>
    <t>ОТВЕЖДАНЕ НА ОТПАДЪЧНИ ВОДИ:</t>
  </si>
  <si>
    <t>Канализационни помпени станции</t>
  </si>
  <si>
    <t>Рехабилитация  и разширение на канализационната мрежа над 10 м</t>
  </si>
  <si>
    <t>реконструкции и изграждане на нови канали над 10 м</t>
  </si>
  <si>
    <t>Сградни канализационни отклонения</t>
  </si>
  <si>
    <t>Проучване и моделиране на канализационната мрежа</t>
  </si>
  <si>
    <t>Лекотоварни автомобили  за канализация</t>
  </si>
  <si>
    <t>Тежкотоварни автомобили  за канализация</t>
  </si>
  <si>
    <t>ПРЕЧИСТВАНЕ НА ОТПАДЪЧНИ ВОДИ:</t>
  </si>
  <si>
    <t>Пречиствателни станции за отпадъчни води</t>
  </si>
  <si>
    <t>Лаборатория за отпадъчни води</t>
  </si>
  <si>
    <t>Лекотоварни автомобили  за  ПСОВ</t>
  </si>
  <si>
    <t>Тежкотоварни автомобили  за  ПСОВ</t>
  </si>
  <si>
    <t>Строителна и специализирана механизация  за ПСОВ</t>
  </si>
  <si>
    <t xml:space="preserve">ОБСЛУЖВАНЕ НА КЛИЕНТИ: </t>
  </si>
  <si>
    <t>Приходни водомери</t>
  </si>
  <si>
    <t>Приходни водомери с дистанционно отчитане</t>
  </si>
  <si>
    <t>ТРАНСПОРТ, АДМИНИСТРАЦИЯ  и  ИТ:</t>
  </si>
  <si>
    <t>Административни и обслужващи сгради и конструкции</t>
  </si>
  <si>
    <t>изграждане на нови и капиталов ремонт на съществуващи</t>
  </si>
  <si>
    <t>Стопански инвентар и офис оборудване</t>
  </si>
  <si>
    <t>покупка на нов и капиталов ремонт на съществуващ</t>
  </si>
  <si>
    <t>покупка на нови и надграждане и разширяване на съществуващи</t>
  </si>
  <si>
    <t>ИТ хардуер</t>
  </si>
  <si>
    <t>Водоснабдяване:</t>
  </si>
  <si>
    <t>Пречистване:</t>
  </si>
  <si>
    <t>% Водоснабдяване:</t>
  </si>
  <si>
    <t>% Пречистване:</t>
  </si>
  <si>
    <t>ДРУГИ ИНВЕСТИЦИИ- разпределение:</t>
  </si>
  <si>
    <t>ОБЩО ИНВЕСТИЦИИ след разпределение:</t>
  </si>
  <si>
    <t>I.</t>
  </si>
  <si>
    <t>Собствени Дълготрайни Активи</t>
  </si>
  <si>
    <t>Сгради и конструкции</t>
  </si>
  <si>
    <t>Машини, апаратура и специализирано оборудване</t>
  </si>
  <si>
    <t>Строителна и специализирана механизация</t>
  </si>
  <si>
    <t>Ел. оборудване</t>
  </si>
  <si>
    <t xml:space="preserve">Измервателни устройства </t>
  </si>
  <si>
    <t xml:space="preserve"> Друго специализирано оборудване</t>
  </si>
  <si>
    <t xml:space="preserve"> Тежкотоварни</t>
  </si>
  <si>
    <t>Лекотоварни</t>
  </si>
  <si>
    <t>Автомобили</t>
  </si>
  <si>
    <t>Компютърна техника</t>
  </si>
  <si>
    <t>Дълготрайни материални активи в процес на изграждане</t>
  </si>
  <si>
    <t>Нематериални активи в процес на изграждане</t>
  </si>
  <si>
    <t>II.</t>
  </si>
  <si>
    <t>Ел. съоръжения</t>
  </si>
  <si>
    <t>Каптажи</t>
  </si>
  <si>
    <t>Сондажни и шахтови кладенци</t>
  </si>
  <si>
    <t xml:space="preserve">Водопроводи, вкл.СВО </t>
  </si>
  <si>
    <t>Канализация, вкл. СКО</t>
  </si>
  <si>
    <t>Съоръжения в пречиствателни, помпени, хлораторни станции и резервоари</t>
  </si>
  <si>
    <t>Други ВиК съоръжения</t>
  </si>
  <si>
    <t>III.</t>
  </si>
  <si>
    <t>Административни и обслужващи сгради</t>
  </si>
  <si>
    <t>Производствени сгради</t>
  </si>
  <si>
    <t>Машини</t>
  </si>
  <si>
    <t>Апаратура</t>
  </si>
  <si>
    <t>Ел. табла</t>
  </si>
  <si>
    <t>ВиК оборудване</t>
  </si>
  <si>
    <t>Трафопост</t>
  </si>
  <si>
    <t>Електропровод</t>
  </si>
  <si>
    <t>ВиК съоръжения</t>
  </si>
  <si>
    <t>Други съоръжения</t>
  </si>
  <si>
    <t>Офис оборудване</t>
  </si>
  <si>
    <t>1.3.2</t>
  </si>
  <si>
    <t>други разходи за материали</t>
  </si>
  <si>
    <t>1.7.1</t>
  </si>
  <si>
    <t>1.7.2</t>
  </si>
  <si>
    <t>1.7.3</t>
  </si>
  <si>
    <t>консултански услуги</t>
  </si>
  <si>
    <t>2.8.1</t>
  </si>
  <si>
    <t>2.8.2</t>
  </si>
  <si>
    <t>2.8.3</t>
  </si>
  <si>
    <t>2.8.4</t>
  </si>
  <si>
    <t xml:space="preserve"> - други консултантски услуги</t>
  </si>
  <si>
    <t>обучения на персонала</t>
  </si>
  <si>
    <t>2.14</t>
  </si>
  <si>
    <t>други разходи за външни услуги</t>
  </si>
  <si>
    <t>Разходи за амортизации</t>
  </si>
  <si>
    <t>разходи за амортизации на собствени активи</t>
  </si>
  <si>
    <t>Разходи за възнаграждения</t>
  </si>
  <si>
    <t>Разходи за осигуровки</t>
  </si>
  <si>
    <t>Данъци и такси</t>
  </si>
  <si>
    <t>местни данъци и такси</t>
  </si>
  <si>
    <t>такси за регулиране</t>
  </si>
  <si>
    <t>такси за ползване на водни обекти</t>
  </si>
  <si>
    <t>такси  за заустване</t>
  </si>
  <si>
    <t>други данъци и такси</t>
  </si>
  <si>
    <t>7.3</t>
  </si>
  <si>
    <t>7.4</t>
  </si>
  <si>
    <t>7.5</t>
  </si>
  <si>
    <t>7.6</t>
  </si>
  <si>
    <t>7.7</t>
  </si>
  <si>
    <t>Спестявания и увеличения-нето:</t>
  </si>
  <si>
    <t>НЕТО УВЕЛИЧЕНИЕ и НАМАЛЕНИЕ НА  РАЗХОДИ</t>
  </si>
  <si>
    <t xml:space="preserve">Вид оперативен ремонт / Направление на оперативен ремонт
</t>
  </si>
  <si>
    <t>Количества (единица мярка)</t>
  </si>
  <si>
    <t>Обща стойност на обектите 
(хил.лв.)</t>
  </si>
  <si>
    <t>1.1.</t>
  </si>
  <si>
    <t>Ремонт на водоизточници</t>
  </si>
  <si>
    <t>1.2.</t>
  </si>
  <si>
    <t>1.3.</t>
  </si>
  <si>
    <t>Ремонт на участъци от водопроводната мрежа под 10 м</t>
  </si>
  <si>
    <t>1.4.</t>
  </si>
  <si>
    <t>Ремонт на СВО</t>
  </si>
  <si>
    <t>1.5.</t>
  </si>
  <si>
    <t>Ремонт на спирателни кранове и хидранти</t>
  </si>
  <si>
    <t>1.6.</t>
  </si>
  <si>
    <t>Ремонт на помпи за водоснабдяване</t>
  </si>
  <si>
    <t>1.7.</t>
  </si>
  <si>
    <t>Ремонт на други съоръжения за водоснабдяване</t>
  </si>
  <si>
    <t>1.8.</t>
  </si>
  <si>
    <t>Ремонт на оборудване, апаратура и машини за водоснабдяване</t>
  </si>
  <si>
    <t>1.9.</t>
  </si>
  <si>
    <t>Ремонт на сгради за водоснабдяване</t>
  </si>
  <si>
    <t>1.10.</t>
  </si>
  <si>
    <t>Ремонт на механизация и транспортни средства за водоснабдяване</t>
  </si>
  <si>
    <t>2.1.</t>
  </si>
  <si>
    <t>Ремонт на участъци от канализационна мрежа под 10 м</t>
  </si>
  <si>
    <t>2.2.</t>
  </si>
  <si>
    <t>Ремонт на СКО</t>
  </si>
  <si>
    <t>2.3.</t>
  </si>
  <si>
    <t>Ремонт на помпи за канализация</t>
  </si>
  <si>
    <t>2.4.</t>
  </si>
  <si>
    <t>Ремонт на оборудване, апаратура и машини за канализация</t>
  </si>
  <si>
    <t>2.5.</t>
  </si>
  <si>
    <t>Ремонт на сгради за канализация</t>
  </si>
  <si>
    <t>2.6.</t>
  </si>
  <si>
    <t>Ремонт на механизация и транспортни средства за канализация</t>
  </si>
  <si>
    <t>Ремонт на съоръжения за пречистване</t>
  </si>
  <si>
    <t>Ремонт на помпи за пречистване</t>
  </si>
  <si>
    <t>3.3.</t>
  </si>
  <si>
    <t>Ремонт на оборудване, апаратура и машини за пречистване</t>
  </si>
  <si>
    <t>3.4.</t>
  </si>
  <si>
    <t>Ремонт на сгради за пречистване</t>
  </si>
  <si>
    <t>3.5.</t>
  </si>
  <si>
    <t>Ремонт на механизация и транспортни средства за пречистване</t>
  </si>
  <si>
    <t xml:space="preserve">Наименование </t>
  </si>
  <si>
    <t>ПРИХОДИ</t>
  </si>
  <si>
    <t>Приходи от оперативна дейност</t>
  </si>
  <si>
    <t>Други приходи</t>
  </si>
  <si>
    <t>Приходи от строителство</t>
  </si>
  <si>
    <t>Приходи от финансирания</t>
  </si>
  <si>
    <t>Финансови приходи</t>
  </si>
  <si>
    <t>Приходи от лихви</t>
  </si>
  <si>
    <t>Положит. разлики от операции с фин.активи</t>
  </si>
  <si>
    <t>Положит. разлики от промяна на валут.курсове</t>
  </si>
  <si>
    <t>Други финансови приходи</t>
  </si>
  <si>
    <t xml:space="preserve">РАЗХОДИ </t>
  </si>
  <si>
    <t>Разходи от оперативна дейност</t>
  </si>
  <si>
    <t>Суровини и материали</t>
  </si>
  <si>
    <t>Външни услуги</t>
  </si>
  <si>
    <t>Разходи за социални осигуровки</t>
  </si>
  <si>
    <t xml:space="preserve">Разходи за амортизация </t>
  </si>
  <si>
    <t>Разходи за  обезценка на вземания</t>
  </si>
  <si>
    <t>Разходи за строителство</t>
  </si>
  <si>
    <t xml:space="preserve">Други разходи </t>
  </si>
  <si>
    <t>Финансови разходи</t>
  </si>
  <si>
    <t xml:space="preserve">Разходи за лихви </t>
  </si>
  <si>
    <t>Разходи от обезценка на финансови активи</t>
  </si>
  <si>
    <t>Отрицателни разлики от промяна на валутни курсове</t>
  </si>
  <si>
    <t>Други финансови разходи</t>
  </si>
  <si>
    <t>Печалба/ Загуба от оперативна дейност</t>
  </si>
  <si>
    <t>Печалба/ Загуба преди данъци</t>
  </si>
  <si>
    <t xml:space="preserve"> Разходи за данъци от печалбата</t>
  </si>
  <si>
    <t>Други данъци, алтернативни на корпоративния данък</t>
  </si>
  <si>
    <t>Печалба/ Загуба</t>
  </si>
  <si>
    <t>ПОСТЪПЛЕНИЯ</t>
  </si>
  <si>
    <t>Постъпления от оперативна дейност</t>
  </si>
  <si>
    <t>Постъпления от други приходи</t>
  </si>
  <si>
    <t>Финансови постъпления</t>
  </si>
  <si>
    <t>Постъпления от лихви</t>
  </si>
  <si>
    <t>Постъпления от финансирания</t>
  </si>
  <si>
    <t>Други финансови постъпления</t>
  </si>
  <si>
    <t xml:space="preserve">ПЛАЩАНИЯ </t>
  </si>
  <si>
    <t>Плащания по оперативна дейност:</t>
  </si>
  <si>
    <t>Възнаграждения</t>
  </si>
  <si>
    <t>Социални осигуровки</t>
  </si>
  <si>
    <t>Такси водоползване</t>
  </si>
  <si>
    <t>Такси заустване</t>
  </si>
  <si>
    <t>Такса регулиране</t>
  </si>
  <si>
    <t>Други плащания по оперативна дейност</t>
  </si>
  <si>
    <t>Други плащания</t>
  </si>
  <si>
    <t>Изплащане на дивиденти към  собственици</t>
  </si>
  <si>
    <t>Финансови и данъчни плащания</t>
  </si>
  <si>
    <t>Плащания на лихви</t>
  </si>
  <si>
    <t>Плащания на заеми</t>
  </si>
  <si>
    <t>Други финансови плащания</t>
  </si>
  <si>
    <t>Данък печалба</t>
  </si>
  <si>
    <t>Нето получен/ платен ДДС</t>
  </si>
  <si>
    <t xml:space="preserve">Други  данъци и такси </t>
  </si>
  <si>
    <t>Нетен паричен поток от оперативна дейност:</t>
  </si>
  <si>
    <t>Нетен паричен поток преди финансирания и данъци:</t>
  </si>
  <si>
    <t>Нетен паричен поток:</t>
  </si>
  <si>
    <t>Салдо на паричните средства в началото на периода:</t>
  </si>
  <si>
    <t>Салдо на паричните средства в края на периода:</t>
  </si>
  <si>
    <t>Призната стойност на ДА</t>
  </si>
  <si>
    <t>Амортизации за периода на използване на ДА</t>
  </si>
  <si>
    <t xml:space="preserve">Дългосрочни задължения по лихвени заеми и кредити за изграждане на извадени от баланса публични ДА </t>
  </si>
  <si>
    <t>Остатък главница към края на текущия период</t>
  </si>
  <si>
    <t>Справка № 5
Персонал</t>
  </si>
  <si>
    <t>Приложение № 6</t>
  </si>
  <si>
    <t>СПРАВКА № 16</t>
  </si>
  <si>
    <t>СПРАВКА № 17</t>
  </si>
  <si>
    <t>СПРАВКА № 18</t>
  </si>
  <si>
    <t>СПРАВКА № 19</t>
  </si>
  <si>
    <t>Приложение № 7</t>
  </si>
  <si>
    <t>Справка № 5 - Персонал</t>
  </si>
  <si>
    <t>5.6</t>
  </si>
  <si>
    <t>5.7</t>
  </si>
  <si>
    <t>Приложение 7</t>
  </si>
  <si>
    <t>Прогнозни отчети</t>
  </si>
  <si>
    <t>Управител:</t>
  </si>
  <si>
    <t>Указания за попълване на справката:</t>
  </si>
  <si>
    <t>Собствена земя</t>
  </si>
  <si>
    <t>Други транспортни средства</t>
  </si>
  <si>
    <t>Земя публична собственост</t>
  </si>
  <si>
    <t xml:space="preserve">ОБЩО отчетна стойност: </t>
  </si>
  <si>
    <t xml:space="preserve">ОБЩО годишна амортизация: </t>
  </si>
  <si>
    <t xml:space="preserve">ОБЩО натрупана амортизация: </t>
  </si>
  <si>
    <t xml:space="preserve">ОБЩО балансова стойност: </t>
  </si>
  <si>
    <t>Тежкотоварни</t>
  </si>
  <si>
    <t xml:space="preserve">Стопански инвентар </t>
  </si>
  <si>
    <t>1. Попълват се само клетките в жълт цвят.</t>
  </si>
  <si>
    <t>4.1.</t>
  </si>
  <si>
    <t>4.2.</t>
  </si>
  <si>
    <t>5.1.</t>
  </si>
  <si>
    <t>5.2.</t>
  </si>
  <si>
    <t xml:space="preserve">Общо количество вода на входа на системата A3/Q4 </t>
  </si>
  <si>
    <t xml:space="preserve">Обща законна консумация iA14/Q5 </t>
  </si>
  <si>
    <t xml:space="preserve">Продадена фактурирана вода Q3 </t>
  </si>
  <si>
    <t>2.1.1</t>
  </si>
  <si>
    <t>Фактурирана измерена консумация на вода Q3.1</t>
  </si>
  <si>
    <t>2.1.1.1</t>
  </si>
  <si>
    <t>битови потребители</t>
  </si>
  <si>
    <t>2.1.1.2</t>
  </si>
  <si>
    <t>обществени и търговски потребители</t>
  </si>
  <si>
    <t>2.1.1.3</t>
  </si>
  <si>
    <t>стопански потребители</t>
  </si>
  <si>
    <t>2.1.2</t>
  </si>
  <si>
    <t>Фактурирана неизмерена консумация на вода Q3.2</t>
  </si>
  <si>
    <t>2.1.2.1</t>
  </si>
  <si>
    <t>2.1.2.2</t>
  </si>
  <si>
    <t>2.1.2.3</t>
  </si>
  <si>
    <t>Нефактурирана измерена консумация на вода Q3A.1</t>
  </si>
  <si>
    <t>Нефактурирана неизмерена консумация на вода Q3A.2</t>
  </si>
  <si>
    <t xml:space="preserve">Търговски загуби на вода Q8 </t>
  </si>
  <si>
    <t>3.1.1</t>
  </si>
  <si>
    <t>Незаконно ползване Q8.1</t>
  </si>
  <si>
    <t>3.1.2</t>
  </si>
  <si>
    <t>Неточност при измерване Q8.2</t>
  </si>
  <si>
    <t xml:space="preserve">Реални загуби на вода Q7 </t>
  </si>
  <si>
    <t>3.2.1</t>
  </si>
  <si>
    <t>Течове във водопроводите за сурова вода и загуби при пречистването Q7.1</t>
  </si>
  <si>
    <t>3.2.2</t>
  </si>
  <si>
    <t>Течове в системата за пренос и разпределение Q7.2</t>
  </si>
  <si>
    <t>3.2.3</t>
  </si>
  <si>
    <t>Течове и препълване на резервоарите за съхранение Q7.3</t>
  </si>
  <si>
    <t>3.2.4</t>
  </si>
  <si>
    <t>Течове в сградните отклонения Q7.4</t>
  </si>
  <si>
    <t xml:space="preserve">Неносеща приходи вода (неотчетена вода) Q9 </t>
  </si>
  <si>
    <t>тон с.в.</t>
  </si>
  <si>
    <t>Произведени утайки от ПСОВ през годината</t>
  </si>
  <si>
    <t>Депонирани утайки, в т.ч.:</t>
  </si>
  <si>
    <t>Остатък утайки към края на периода, в.т.ч.:</t>
  </si>
  <si>
    <t>6</t>
  </si>
  <si>
    <t>лв/тон с.в.</t>
  </si>
  <si>
    <t>2.15</t>
  </si>
  <si>
    <t>Отведени количества отпадъчна вода според:</t>
  </si>
  <si>
    <t>Справка № 8 - Ремонтна програма</t>
  </si>
  <si>
    <t>Справка № 9 - Инвестиционна програма</t>
  </si>
  <si>
    <t>Справка № 10 - Инвестиции и източници на финансиране</t>
  </si>
  <si>
    <t>Справка № 11 - Амортизационен план на Дълготрайни Активи</t>
  </si>
  <si>
    <t>Изразходвана ел.енергия за нерегулирана дейност</t>
  </si>
  <si>
    <t>Нарастване на БВП съгласно средносрочна бюджетна прогноза 2015 - 2017 г.</t>
  </si>
  <si>
    <t>Справка № 13
Анализ на социалната поносимост на предлаганите цени</t>
  </si>
  <si>
    <t>Битови и приравнените към тях потребители</t>
  </si>
  <si>
    <t>Индикатор</t>
  </si>
  <si>
    <t>Променлива</t>
  </si>
  <si>
    <t>Справка № 12 - Годишни разходи</t>
  </si>
  <si>
    <t>Справка № 13 - Анализ на социалната поносимост на предлаганите цени</t>
  </si>
  <si>
    <t>Справка № 14  - Прогнозен отчет за приходите и разходите</t>
  </si>
  <si>
    <t>Справка № 15  - Прогнозен отчет за паричния поток</t>
  </si>
  <si>
    <t>Справка № 16  - Необходими приходи</t>
  </si>
  <si>
    <t>Справка № 17  - Регулаторна база на активите</t>
  </si>
  <si>
    <t>Справка № 18  - Оборотен капитал</t>
  </si>
  <si>
    <t>Справка № 20  - Цени за доставяне на вода, отвеждане и пречистване на отпадъчни води</t>
  </si>
  <si>
    <t>хил.тон с.в.</t>
  </si>
  <si>
    <t>Оползотворени утайки, произведени в предходната година</t>
  </si>
  <si>
    <t>Оползотворени утайки, произведени през текущата година</t>
  </si>
  <si>
    <t>Депонирани утайки, произведени в предходната година</t>
  </si>
  <si>
    <t>3.3</t>
  </si>
  <si>
    <t>Депонирани утайки, произведени през текущата година</t>
  </si>
  <si>
    <t>Разходи за оползотворяване и депониране на утайки, в т.ч.:</t>
  </si>
  <si>
    <t>Разход за оползотворяване и депониране на тон с.в. утайка</t>
  </si>
  <si>
    <t>Собствени разходи за оползотворяване на утайките</t>
  </si>
  <si>
    <t>Разходи за външни услуги за оползотворяване на утайките</t>
  </si>
  <si>
    <t>Инвестиции в Собствени активи:</t>
  </si>
  <si>
    <t>Инвестиции в Публични активи:</t>
  </si>
  <si>
    <t>% инвестиции, които се заприхождават като активи:</t>
  </si>
  <si>
    <t>Право на ползване на публични активи</t>
  </si>
  <si>
    <t>Общо ополозтворени утайки съгласно методите, описани в Национален план за управление на утайките от градските пречиствателни станции за отпадъчни води, в т.ч.:</t>
  </si>
  <si>
    <t>проверка на  измервателни уреди</t>
  </si>
  <si>
    <t>външни услуги за оползотворяване на утайки</t>
  </si>
  <si>
    <t xml:space="preserve">социални осигуровки </t>
  </si>
  <si>
    <t>разходи за ваучери за храна и други соц. надбавки и помощи</t>
  </si>
  <si>
    <t>7.7.1</t>
  </si>
  <si>
    <t>7.7.2</t>
  </si>
  <si>
    <t>7.7.3</t>
  </si>
  <si>
    <t>7.7.4</t>
  </si>
  <si>
    <t>ОБЩО РАЗХОДИ за оперативен ремонт:</t>
  </si>
  <si>
    <t>Променливи разходи:</t>
  </si>
  <si>
    <t>разходи за ваучери за храна и други соц. надбавки и помощи за оперативен ремонт</t>
  </si>
  <si>
    <t>социални осигуровки  за оперативен ремонт</t>
  </si>
  <si>
    <t>разходи за трудови възнаграждения за оперативен ремонт</t>
  </si>
  <si>
    <t>външни услуги за оперативен ремонт</t>
  </si>
  <si>
    <t>материали за оперативен ремонт</t>
  </si>
  <si>
    <t>Общ размер на разходите за социални осигуровки, хил.лв.</t>
  </si>
  <si>
    <t>Среден размер на възнаграждение на единица персонал на ЕПЗ (хил.лв./ЕПЗ)</t>
  </si>
  <si>
    <t>Среден размер на социални осигуровки на единица персонал на ЕПЗ (хил.лв./ЕПЗ)</t>
  </si>
  <si>
    <t>Среден размер на социални разходи на единица персонал на ЕПЗ (хил.лв./ЕПЗ)</t>
  </si>
  <si>
    <t>период на амортизация в годината на заприхождаване:</t>
  </si>
  <si>
    <t>Публични Дълготрайни Активи, изградени със собствени средства</t>
  </si>
  <si>
    <t>Публични Дълготрайни Активи, предоставени на ВиК оператора за експлоатация и поддръжка</t>
  </si>
  <si>
    <t>% Отвеждане:</t>
  </si>
  <si>
    <t>Отвеждане:</t>
  </si>
  <si>
    <t>ИНВЕСТИЦИИ Водоснабдяване, Отвеждане и Пречистване:</t>
  </si>
  <si>
    <t>Признатите годишни прогнозни разходи за амортизации на активите, използвани за дейността</t>
  </si>
  <si>
    <t>Право на ползване на публични ДА</t>
  </si>
  <si>
    <t>Натрупана амортизация на Право на ползване на публични ДА</t>
  </si>
  <si>
    <t>Справка № 7 - Оползотворяване на утaйки от ПСОВ</t>
  </si>
  <si>
    <t>Справка № 8
Ремонтна програма</t>
  </si>
  <si>
    <t>Справка № 9
Инвестиционна програма</t>
  </si>
  <si>
    <t>Справка № 10
 Инвестиции и източници на финансиране</t>
  </si>
  <si>
    <t>Справка № 11
Амортизационен план на Дълготрайни Активи</t>
  </si>
  <si>
    <t>Справка № 12.1.
Разчет на увеличението и намалението на признатите годишни разходи на В и К оператора</t>
  </si>
  <si>
    <t>5.2.1</t>
  </si>
  <si>
    <t>5.2.2</t>
  </si>
  <si>
    <t>5.2.3</t>
  </si>
  <si>
    <t>СПРАВКА № 20</t>
  </si>
  <si>
    <t>Измерване на вход  ВС</t>
  </si>
  <si>
    <t xml:space="preserve">Зониране  на водопроводната мрежа-контролно измерване </t>
  </si>
  <si>
    <t>подмяна на съществуващи и монтаж на нови водомери, шахти и водомерни възли на водомерни зони</t>
  </si>
  <si>
    <t>Рехабилитация  и разширение на главни  канализационни колектори и клонове</t>
  </si>
  <si>
    <t>Строителна и специализирана механизация за канализация</t>
  </si>
  <si>
    <t>подмяна на съществуващи и монтаж на нови приходни водомери на СВО, шахти и водомерни възли</t>
  </si>
  <si>
    <t>оборудване за дистанционно отчитане на приходни водомери</t>
  </si>
  <si>
    <t>ГИС</t>
  </si>
  <si>
    <t xml:space="preserve">Резервоари </t>
  </si>
  <si>
    <t>Хлораторни станциии</t>
  </si>
  <si>
    <t>Общи за регулирана дейност</t>
  </si>
  <si>
    <t>СКАДА за отвеждане на отпадъчни води</t>
  </si>
  <si>
    <t>СКАДА за водоснабдяване</t>
  </si>
  <si>
    <t>реконструкции и изграждане на главни канализационни колектори и клонове</t>
  </si>
  <si>
    <t>покупка на нови и капиталов ремонт на съществуващи, за извършване на СМР по водопроводната мрежа</t>
  </si>
  <si>
    <t>СКАДА за пречистване на отпадъчни води</t>
  </si>
  <si>
    <t xml:space="preserve">Автомобили </t>
  </si>
  <si>
    <t xml:space="preserve">Лекотоварни автомобили </t>
  </si>
  <si>
    <t>покупка на нова система и надграждане и разширяване на съществуваща</t>
  </si>
  <si>
    <t xml:space="preserve">разходи за персонал и външни услуги за  изграждане, надграждане и разширение на ГИС </t>
  </si>
  <si>
    <t>Автомобили  за канализация</t>
  </si>
  <si>
    <t>Автомобили  за  ПСОВ</t>
  </si>
  <si>
    <t>Автомобили за водоснабдяване</t>
  </si>
  <si>
    <t>Натурални показатели</t>
  </si>
  <si>
    <t>бр.</t>
  </si>
  <si>
    <t>м</t>
  </si>
  <si>
    <t>м.</t>
  </si>
  <si>
    <t>Права върху интелектуална собственост 
(ГИС, Хидравлични модели, др.)</t>
  </si>
  <si>
    <t>Проверка/
засичане на данни</t>
  </si>
  <si>
    <t>Проверка/засичане на данни със справка 12:</t>
  </si>
  <si>
    <t>Проверка/ засичане на данни със справка 12</t>
  </si>
  <si>
    <t>1.11.</t>
  </si>
  <si>
    <t>2.7.</t>
  </si>
  <si>
    <t>3.6.</t>
  </si>
  <si>
    <t>2.16</t>
  </si>
  <si>
    <t>лабораторни проби</t>
  </si>
  <si>
    <t>Собствени ДА и публични ДА, изградени със собствени средства</t>
  </si>
  <si>
    <t>Натрупана амортизация на собствени ДА и на публични ДА, изградени със собствени средства</t>
  </si>
  <si>
    <t xml:space="preserve">Подадена нефактурирана вода A13(Q3A) </t>
  </si>
  <si>
    <t xml:space="preserve">Общи загуби на вода A15(Q6) </t>
  </si>
  <si>
    <t>Дата на изготвяне на справките:</t>
  </si>
  <si>
    <t>.............................................</t>
  </si>
  <si>
    <t>Управител/Изп. директор (име и фамилия):</t>
  </si>
  <si>
    <t>Главен счетоводител/Фин. директор (име и фамилия):</t>
  </si>
  <si>
    <t xml:space="preserve">Управител/Изп.директор: </t>
  </si>
  <si>
    <t xml:space="preserve">Гл. счетоводител/Фин.директор: </t>
  </si>
  <si>
    <t>Гл. техник/Техн. директор:</t>
  </si>
  <si>
    <t>Произведена ел.енергия от собствени източници</t>
  </si>
  <si>
    <t>Използвана ел.енергия от собствени източници за вътрешни нужди</t>
  </si>
  <si>
    <t>Продадена ел. енергия от собствени източници на външния пазар</t>
  </si>
  <si>
    <t>Отчетените приходи за услуга доставяне на вода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доставяне на вода,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до услугата доставяне на вода</t>
  </si>
  <si>
    <t>Общите отчетени разходи за услуга доставяне вода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</si>
  <si>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Отчетените приходи за услугата отвеждане на отпадъчни води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отвеждане на отпадъчни води,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до услугата отвеждане на отпадъчни води.</t>
  </si>
  <si>
    <t>Общите отчетени разходи за услугата отвеждане на отпадъчни води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</si>
  <si>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Отчетените приходи за услугата пречистване на отпадъчни води на потребителите съгласно ЕСРО е общата сума на оперативните приходи, намалени със сумата на разходите за придобиване на ДА по стопански начин за услугата пречистване на отпадъчни води, в лева за календарната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отнасящи се за услугата пречистване на отпадъчни води.</t>
  </si>
  <si>
    <t>Общите отчетени разходи за услугата пречистване на отпадъчни води на потребителите съгласно ЕСРО е общата сума на оперативните, нетният размер на разходите за лихви (разходи за лихви – приходи за лихви), амортизацията на активите свързани с предоставянето на услугата, намалена със сумата на разходите за придобиване на активи по стопански начин.</t>
  </si>
  <si>
    <t xml:space="preserve">Променливата iG99 е общата сума на приходите с включен ДДС за услугите по доставяне на вода и отвеждане и пречистване на отпадъчни води на потребителите съгласно ЕСРО. Променливата се определя, като от общата сума на оперативните приходи се извади сумата на разходите за придобиване на дълготрайни активи (ДА) по стопански начин за услугите по доставяне на вода и отвеждане и пречистване на отпадъчни води на потребителите, в лева, за отчетната година. Разходите за придобиване на ДА по стопански начин се изваждат само в случаите, когато ВиК операторът отразява този тип разходи като еквивалентна сума в оперативните приходи. В случаите, когато ВиК операторът отразява направените разходи за придобиване на ДА по стопански начин директно към стойността на съответния ДА, те не се изваждат. В сумата на общите приходи се включват и проходите от лихви за забавени плащания. </t>
  </si>
  <si>
    <t>Променливата iG98 е общата сума на вземанията на В и К оператора към потребители и от доставчици и потребители към края на отчетната година, съгласно ЕСРО. Обезценката на вземанията и задълженията не се взема за целите на изчисляване на индикатора</t>
  </si>
  <si>
    <t>Променливата iG97 е общата сума на вземанията на В и К оператора към доставчици и потребители към края на годината, предхождаща отчетната година, съгласно ЕСРО. Обезценката на вземанията и задълженията не се взема за целите на изчисляване на индикатора.съгласно ЕСРО. Обезценката на вземанията и задълженията не се взема за целите на изчисляване на индикатора.</t>
  </si>
  <si>
    <t>Променливата B1 се изчислява като средна стойност, равна на сбора на персонала на еквивалентна пълна заетост (ЕПЗ), ангажиран за предоставянето на услугата доставяне на вода на потребителите (като се включва постоянно назначения и временно назначения персонал) за първия и последния месец на отчетната година, разделен на две.</t>
  </si>
  <si>
    <t xml:space="preserve">Променливата wB1се изчислява като средна стойност, равна на сбора на персонала на еквивалентна пълна заетост (ЕПЗ) ангажиран за предоставянето на услугите отвеждане и пречистване на отпадъчни води (като се включва постоянно назначения и временно назначения персонал) за първия и последния месец на отчетната година, разделен на две. </t>
  </si>
  <si>
    <t xml:space="preserve">Съществуващ дългосрочен заем 1 за изграждане на ДА </t>
  </si>
  <si>
    <t xml:space="preserve">Съществуващ дългосрочен заем 3 за изграждане на ДА </t>
  </si>
  <si>
    <t>НОРМА НА ВЪЗВРЪЩАЕМОСТ</t>
  </si>
  <si>
    <t>Арматури (спирателни кранове, хидранти, редуцир винтили, въздушници, др.)</t>
  </si>
  <si>
    <t>911102</t>
  </si>
  <si>
    <t>911202</t>
  </si>
  <si>
    <t>91140201</t>
  </si>
  <si>
    <t>91140202</t>
  </si>
  <si>
    <t>91140203</t>
  </si>
  <si>
    <t>91140204</t>
  </si>
  <si>
    <t>91140205</t>
  </si>
  <si>
    <t>91140206</t>
  </si>
  <si>
    <t>91140207</t>
  </si>
  <si>
    <t>91140208</t>
  </si>
  <si>
    <t>91130502</t>
  </si>
  <si>
    <t>9115</t>
  </si>
  <si>
    <t>подмяна на съществуващи и монтаж на нови редуцир вeнтили</t>
  </si>
  <si>
    <t>подмяна на съществуващи и монтаж на нови водомери, водомерни шахти и възли на водоизточници</t>
  </si>
  <si>
    <t>Друго специализирано оборудване за ПСОВ</t>
  </si>
  <si>
    <t>Друго специализирано оборудване за канализация</t>
  </si>
  <si>
    <t>Друго специализирано оборудване за водоснабдяване</t>
  </si>
  <si>
    <t>Оборудване за СКАДА</t>
  </si>
  <si>
    <t>911304</t>
  </si>
  <si>
    <t>91130501</t>
  </si>
  <si>
    <t>91130503</t>
  </si>
  <si>
    <t>911403</t>
  </si>
  <si>
    <t>5.1.1</t>
  </si>
  <si>
    <t>6.2.2</t>
  </si>
  <si>
    <t>6.2.3</t>
  </si>
  <si>
    <t>2. Постъпленията се посочват със знак "+" , а плащанията - със знак "-".</t>
  </si>
  <si>
    <t>Други оперативни ремонти за водоснабдяване</t>
  </si>
  <si>
    <t>Други оперативни ремонти за канализация</t>
  </si>
  <si>
    <t>Други оперативни ремонти за пречистване</t>
  </si>
  <si>
    <t>Други оперативни ремонти, общи за услугите - разпределение за водоснабдяване</t>
  </si>
  <si>
    <t>Други оперативни ремонти, общи за услугите - разпределение за канализация</t>
  </si>
  <si>
    <t>Други оперативни ремонти, общи за услугите - разпределение за пречистване</t>
  </si>
  <si>
    <t>Разходи за социални осигуровки, хил.лв.</t>
  </si>
  <si>
    <t xml:space="preserve">Общ размер на социалните разходи, хил.лв. </t>
  </si>
  <si>
    <t xml:space="preserve">Социални разходи, хил.лв. </t>
  </si>
  <si>
    <t>Капитализирани разходи за възнаграждения, хил.лв.</t>
  </si>
  <si>
    <t>Капитализирани разходи за социални осигуровки, хил.лв.</t>
  </si>
  <si>
    <t xml:space="preserve">Капитализирани социални разходи, хил.лв. </t>
  </si>
  <si>
    <t>2021 г.</t>
  </si>
  <si>
    <t>Ремонт на довеждащи водопроводи</t>
  </si>
  <si>
    <t>Собствени разходи за депониране на утайките</t>
  </si>
  <si>
    <t>Разходи за външни услуги за депониране на утайките</t>
  </si>
  <si>
    <t>разлика</t>
  </si>
  <si>
    <t>2. В случай, че Неносеща приходи вода Q9 не е равна на сбора на компонентите си, на ред "разлика" ще се калкулират стойности различни от нула - което ще покаже необходимост от ревизия на данните в справката</t>
  </si>
  <si>
    <t>2.8.</t>
  </si>
  <si>
    <t>3.7.</t>
  </si>
  <si>
    <t>1.12.</t>
  </si>
  <si>
    <t>1.13.</t>
  </si>
  <si>
    <t>1.14.</t>
  </si>
  <si>
    <t>2.9.</t>
  </si>
  <si>
    <t>3.8.</t>
  </si>
  <si>
    <t>външни услуги за депониране на утайки</t>
  </si>
  <si>
    <t>2.17</t>
  </si>
  <si>
    <t>2.17.1</t>
  </si>
  <si>
    <t>2.17.2</t>
  </si>
  <si>
    <t>2.17.3</t>
  </si>
  <si>
    <t>разходи за амортизации на публични активи, изградени със собствени средства</t>
  </si>
  <si>
    <t xml:space="preserve">разходи за амортизации на публични активи, приети за експлоатация и поддръжка </t>
  </si>
  <si>
    <t>Язовири</t>
  </si>
  <si>
    <t>Водоеми и водохващания</t>
  </si>
  <si>
    <t>2.5 % от средно месечния доход на лице от домакинството</t>
  </si>
  <si>
    <t>Водоеми  и речни водохващания</t>
  </si>
  <si>
    <t>iDMAm</t>
  </si>
  <si>
    <t>iDMAt</t>
  </si>
  <si>
    <t>ПК4а</t>
  </si>
  <si>
    <t>ПК4б</t>
  </si>
  <si>
    <t>Ед. мярка</t>
  </si>
  <si>
    <t>бр/1 000 СВО</t>
  </si>
  <si>
    <t>бр/1 000 СКО</t>
  </si>
  <si>
    <t>бр/100км/год</t>
  </si>
  <si>
    <t>бр/10 000 потреб</t>
  </si>
  <si>
    <t xml:space="preserve">Ниво на покритие с водоснабдителни услуги </t>
  </si>
  <si>
    <t xml:space="preserve">Качество на питейната вода в големи зони на водоснабдяване </t>
  </si>
  <si>
    <t xml:space="preserve">Качество на питейната вода в малки зони на водоснабдяване </t>
  </si>
  <si>
    <t xml:space="preserve">Мониторинг на качеството на питейната вода </t>
  </si>
  <si>
    <t xml:space="preserve">Непрекъснатост на водоснабдяването </t>
  </si>
  <si>
    <t xml:space="preserve">Общи загуби на вода във водоснабдителните системи </t>
  </si>
  <si>
    <t xml:space="preserve">Аварии по водопроводната мрежа </t>
  </si>
  <si>
    <t xml:space="preserve">Налягане във водоснабдителната система </t>
  </si>
  <si>
    <t xml:space="preserve">Ниво на покритие с услуги по отвеждане на отпадъчни води </t>
  </si>
  <si>
    <t>Ниво на покритие с услуги по пречистване на отпадъчни води</t>
  </si>
  <si>
    <t xml:space="preserve">Качество на отпадъчните води  </t>
  </si>
  <si>
    <t xml:space="preserve">Аварии на канализационната мрежа </t>
  </si>
  <si>
    <t xml:space="preserve">Наводнения в имоти на трети лица, причинени от канализацията </t>
  </si>
  <si>
    <t xml:space="preserve"> Енергийна ефективност за дейността по  доставяне на вода на потребителите</t>
  </si>
  <si>
    <t xml:space="preserve">Енергийна ефективност за дейността по пречистване на отпадъчни води </t>
  </si>
  <si>
    <t>Оползотворяване на утайките от ПСОВ</t>
  </si>
  <si>
    <t xml:space="preserve">Рехабилитация на водопроводната мрежа </t>
  </si>
  <si>
    <t xml:space="preserve">Събираемост </t>
  </si>
  <si>
    <t xml:space="preserve">Срок за отговор на писмени жалби на потребителите  </t>
  </si>
  <si>
    <t xml:space="preserve">Присъединяване към водоснабдителната система </t>
  </si>
  <si>
    <t>Присъединяване към канализационната система</t>
  </si>
  <si>
    <t xml:space="preserve">Ефективност на персонала за услугата доставяне на вода на потребителите </t>
  </si>
  <si>
    <t xml:space="preserve">Ефективност на персонала за услугите отвеждане и пречистване </t>
  </si>
  <si>
    <t>ПК</t>
  </si>
  <si>
    <t>ПК11д</t>
  </si>
  <si>
    <t>Активен контрол на течовете</t>
  </si>
  <si>
    <t>ПК12д</t>
  </si>
  <si>
    <t>ПК12е</t>
  </si>
  <si>
    <t xml:space="preserve">Ефективност на привеждане на водомерите в годност </t>
  </si>
  <si>
    <t xml:space="preserve">Ефективност на изграждане на водомерното стопанство </t>
  </si>
  <si>
    <t>Индивидуална цел за 2021 г.</t>
  </si>
  <si>
    <t>Дългосрочно ниво</t>
  </si>
  <si>
    <r>
      <t>м</t>
    </r>
    <r>
      <rPr>
        <vertAlign val="superscript"/>
        <sz val="10"/>
        <rFont val="Times New Roman"/>
        <family val="1"/>
      </rPr>
      <t>3</t>
    </r>
    <r>
      <rPr>
        <sz val="10"/>
        <rFont val="Times New Roman"/>
        <family val="1"/>
      </rPr>
      <t xml:space="preserve">/год </t>
    </r>
  </si>
  <si>
    <t>iA10</t>
  </si>
  <si>
    <t>iA21</t>
  </si>
  <si>
    <t>брой</t>
  </si>
  <si>
    <t xml:space="preserve">Общ брой на населението, регистрирано по постоянен адрес и ползващо услугата доставяне на вода на потребителите в обособената територия, обслужвана от ВиК оператора  </t>
  </si>
  <si>
    <t>Общ брой на населението, регистрирано по постоянен адрес в обособената територия, обслужвана от оператора (брой)</t>
  </si>
  <si>
    <t xml:space="preserve">Общ брой на направените анализи за качество на питейните води в големи зони на водоснабдяване за отчетната година,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</si>
  <si>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големи зони на водоснабдяване;</t>
  </si>
  <si>
    <t>Общ брой анализи по микробиологични показатели за качество на питейната вода, отговарящи на нормативните изисквания, в големи зони на водоснабдяване;</t>
  </si>
  <si>
    <t>Общ брой анализи по физико-химични показатели за качество на питейната вода, отговарящи на нормативните изисквания, в големи зони на водоснабдяване;</t>
  </si>
  <si>
    <t>Общ брой анализи по радиоактивни показатели за качество на питейната вода, отговарящи на нормативните изисквания, в големи зони на водоснабдяване.</t>
  </si>
  <si>
    <t xml:space="preserve">Общ брой на направените анализи за качество на питейните води в големи зони на водоснабдяване, с изключение на анализите, които показват отклонения, разрешени по реда на наредбата по чл. 135, т. 3 от Закона за водите. </t>
  </si>
  <si>
    <t>Общ брой анализи за показатели с индикаторно значение за качеството на питейната вода в големи зони на водоснабдяване;</t>
  </si>
  <si>
    <t>Общ брой анализи по микробиологични показатели за качество на питейната вода в големи зони на водоснабдяване;</t>
  </si>
  <si>
    <t>Общ брой анализи по физико-химични показатели за качество на питейната вода в големи зони на водоснабдяване;</t>
  </si>
  <si>
    <t>Общ брой анализи по радиоактивни показатели за качество на питейната вода в големи зони на водоснабдяване.</t>
  </si>
  <si>
    <t xml:space="preserve">Общ брой на направените анализи за качество на питейните води в малки зони на водоснабдяване, които отговарят на изискванията на приложимите стандарти или законови разпоредби. </t>
  </si>
  <si>
    <t>Общ брой анализи за показатели с индикаторно значение за качеството на питейната вода, отговарящи на нормативните изисквания в малки зони на водоснабдяване;</t>
  </si>
  <si>
    <t>Общ брой анализи по микробиологични показатели за качество на питейната вода, отговарящи на нормативните изисквания в малки зони на водоснабдяване;</t>
  </si>
  <si>
    <t>Общ брой анализи по физико-химични показатели за качество на питейната вода, отговарящи на нормативните изисквания в малки зони на водоснабдяване;</t>
  </si>
  <si>
    <t>Общ брой анализи по радиоактивни показатели за качество на питейната вода, отговарящи на нормативните изисквания в малки зони на водоснабдяване.</t>
  </si>
  <si>
    <t xml:space="preserve">Общ брой на направените анализи за качество на питейните води в малки зони на водоснабдяване, с изключение на анализите, които показват отклонения, разрешени по реда на наредбата по чл. 135, ал. 1, т. 3 от Закона за водите. </t>
  </si>
  <si>
    <t>Общ брой анализи за показатели с индикаторно значение за качеството на питейната вода в малки зони на водоснабдяване;</t>
  </si>
  <si>
    <t>Общ брой анализи по микробиологични показатели за качество на питейната вода в малки зони на водоснабдяване;</t>
  </si>
  <si>
    <t>Общ брой анализи по физико-химични показатели за качество на питейната вода в малки зони на водоснабдяване;</t>
  </si>
  <si>
    <t>Общ брой анализи по радиоактивни показатели за качество на питейната вода в малки зони на водоснабдяване.</t>
  </si>
  <si>
    <t>Общ брой на зоните на водоснабдяване с изпълнен мониторинг</t>
  </si>
  <si>
    <t>Общ брой на зоните на водоснабдяване в обслужваната от ВиК оператора територия.</t>
  </si>
  <si>
    <t xml:space="preserve">Сумата от общия брой на населението засегнато от прекъсвания на водоснабдяването в обслужваната от оператора територия и продължителността на съответстващите прекъсвания (в часове в разглеждания период). </t>
  </si>
  <si>
    <t>брой/часове</t>
  </si>
  <si>
    <t>Подадена вода на вход водоснабдителна система (Q4, съгласно Наредба № 1 от 5.05.2006 г. за утвърждаване на Методика за определяне на допустимите загуби на вода във водоснабдителните системи</t>
  </si>
  <si>
    <t>Неносеща приходи вода (Q9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</si>
  <si>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Продадена фактурирана вода (Q3, съгласно Наредба № 1 от 5.05.2006 г. за утвърждаване на Методика за определяне на допустимите загуби на вода във водоснабдителните системи, като се изключва водата подадена към друг оператор</t>
  </si>
  <si>
    <t>км</t>
  </si>
  <si>
    <t xml:space="preserve">Общ брой аварии по водопроводната мрежа, включително по арматури и фитинги </t>
  </si>
  <si>
    <t>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t>
  </si>
  <si>
    <t xml:space="preserve">Общ брой на водомерни зони в обслужваната от ВиК оператора територия. </t>
  </si>
  <si>
    <t xml:space="preserve">Общ брой потребители, обслужвани от оператора, които ползват услуга доставяне на вода на потребителите  </t>
  </si>
  <si>
    <t xml:space="preserve">Брой население, регистрирано по постоянен адрес и ползващо услугата отвеждане на отпадъчни води в обособената територия, обслужвана от оператора за разглеждания период  </t>
  </si>
  <si>
    <t xml:space="preserve">Брой население, регистрирано по постоянен адрес и ползващо услугата пречистване на отпадъчни води в обособената територия, обслужвана от оператора за разглеждания период  </t>
  </si>
  <si>
    <t xml:space="preserve">Общ брой проби за качество на отпадъчните води, изискуеми съгласно разрешителните за заустване  </t>
  </si>
  <si>
    <t xml:space="preserve">Брой проби, отговарящи на условията, включени в разрешителните за заустване за разглеждания период  </t>
  </si>
  <si>
    <t xml:space="preserve">Брой запушвания на канализационната мрежа, различни от тези в сградните канализационни отклонения за разглеждания период  </t>
  </si>
  <si>
    <t xml:space="preserve">Брой аварии на канализационната мрежа поради структурно разрушаване на канала за разглеждания период  </t>
  </si>
  <si>
    <t xml:space="preserve">Брой запушвания  в сградните канализационни отклонения за разглеждания период  </t>
  </si>
  <si>
    <t xml:space="preserve">км </t>
  </si>
  <si>
    <t xml:space="preserve">Обща дължина на канализационната мрежа, експлоатирана от ВиК оператора </t>
  </si>
  <si>
    <t xml:space="preserve">Общо количество на изразходваната електрическа енергия, за добив, пречистване и доставка на вода от ВиК оператора  </t>
  </si>
  <si>
    <t xml:space="preserve">Общо количество на сухото тегло на утайките от експлоатираните от В и К оператора ПСОВ, произведени през годината, предхождаща отчетната година, и оползотворени до края на отчетната година </t>
  </si>
  <si>
    <t xml:space="preserve">Общо количество на постъпила за пречистване вода на вход ПСОВ, експлоатирани от ВиК оператора </t>
  </si>
  <si>
    <t xml:space="preserve">Обща дължина на рехабилитираната водопроводна мрежа  </t>
  </si>
  <si>
    <t>лв</t>
  </si>
  <si>
    <t xml:space="preserve">Обща сума на приходите от оперативна дейност от услуга доставяне на вода на потребителите  </t>
  </si>
  <si>
    <t xml:space="preserve">Обща сума на отчетените разходи за услуга доставяне на вода на потребителите съгласно ЕСРО </t>
  </si>
  <si>
    <t xml:space="preserve">Обща сума на приходите от оперативна дейност от услугата отвеждане на отпадъчни води  </t>
  </si>
  <si>
    <t xml:space="preserve">Обща сума на отчетените разходи за услугата отвеждане на отпадъчни води съгласно ЕСРО  </t>
  </si>
  <si>
    <t xml:space="preserve">Обща сума на приходите от оперативна дейност от услугата пречистване на отпадъчни води  </t>
  </si>
  <si>
    <t xml:space="preserve">Обща сума на отчетените разходи за услуга пречистване на отпадъчни води съгласно ЕСРО  </t>
  </si>
  <si>
    <t>Общо количество на сухото тегло на утайките от ПСОВ, експлоатирани от ВиК оператора, произведени през годината, предхождаща отчетната година (тон сухо вещество).</t>
  </si>
  <si>
    <t xml:space="preserve">Качество на информацията   </t>
  </si>
  <si>
    <t>D9</t>
  </si>
  <si>
    <t xml:space="preserve">лв с вкл. ДДС </t>
  </si>
  <si>
    <t>iD45</t>
  </si>
  <si>
    <t xml:space="preserve">Обща сума на приходите от продажби на водоснабдителни и канализационни услуги за годината  </t>
  </si>
  <si>
    <t xml:space="preserve">Обща сума на вземанията от потребители и доставчици към края на годината  </t>
  </si>
  <si>
    <t xml:space="preserve">Обща сума на вземанията от потребители и доставчици за предходната година </t>
  </si>
  <si>
    <t>iE6</t>
  </si>
  <si>
    <t>Общ брой водомери на СВО (средства за измерване).</t>
  </si>
  <si>
    <t>iD44</t>
  </si>
  <si>
    <t>Общ брой водомери на СВО (средства за измерване), които са в техническа и метрологична годност и отговарят на одобрения тип</t>
  </si>
  <si>
    <t>Общ брой водомери на СВО (средства за измерване), които са приведени в техническа и метрологична годност през отчетната година и отговарят на одобрения тип, и които са монтирани на СВО през отчетната година</t>
  </si>
  <si>
    <t>Група</t>
  </si>
  <si>
    <t>Население</t>
  </si>
  <si>
    <t xml:space="preserve">Общ брой потребители, обслужвани от оператора, които ползват услуга отвеждане на отпадъчни води </t>
  </si>
  <si>
    <t xml:space="preserve">Общ брой потребители, обслужвани от оператора, които ползват услуга пречистване на отпадъчни води </t>
  </si>
  <si>
    <t>Потребители</t>
  </si>
  <si>
    <t>Качество на питейната вода - големи зони на водоснабдяване</t>
  </si>
  <si>
    <t>Качество на питейната вода - малки зони на водоснабдяване</t>
  </si>
  <si>
    <t>Общ брой населени места в обособената територия, обслужвана от оператора за разглеждания период, в които се предоставя услугата доставяне на вода</t>
  </si>
  <si>
    <t>Общ брой населени места в обособената територия, обслужвана от оператора за разглеждания период, в които се предоставя услугата отвеждане на отпадъчни води</t>
  </si>
  <si>
    <t>Общ брой населени места в обособената територия, обслужвана от оператора за разглеждания период, в които се предоставя услугата пречистване на отпадъчни води</t>
  </si>
  <si>
    <t>Общ брой населени места в обособената територия, обслужвана от оператора за разглеждания период</t>
  </si>
  <si>
    <t>Населени места</t>
  </si>
  <si>
    <t>ВиК активи</t>
  </si>
  <si>
    <t>Общ брой пречиствателни станции за питейни води (ПСПВ)</t>
  </si>
  <si>
    <t>Общ брой резервоари (водоеми)</t>
  </si>
  <si>
    <t>Общ брой водоснабдителни помпени станции (ВПС)</t>
  </si>
  <si>
    <t>Общ брой канализационни помпени станции (КПС)</t>
  </si>
  <si>
    <t>Общ брой пречиствателни станции за отпадъчни води (ПСОВ)</t>
  </si>
  <si>
    <t>Прекъсвания и аварии</t>
  </si>
  <si>
    <t>Качество на отпадъчни води</t>
  </si>
  <si>
    <t>Обща дължина на водопроводната мрежа, за която е реализиран процес на регулярно обследване и активен контрол на течовете (включително микрофони, корелатори, акустични логери и други), при който се откриват и отстраняват скрити течове</t>
  </si>
  <si>
    <t>Рехабилитирана и проучена водопроводна мрежа</t>
  </si>
  <si>
    <t>Електро енергия</t>
  </si>
  <si>
    <t>Водни количества</t>
  </si>
  <si>
    <t>Утайки от ПСОВ</t>
  </si>
  <si>
    <t>Приходи, разходи и събираемост</t>
  </si>
  <si>
    <t>Оплаквания и жалби</t>
  </si>
  <si>
    <t>Отговори на оплаквания и жалби</t>
  </si>
  <si>
    <t>Присъединяване към ВиК мрежи</t>
  </si>
  <si>
    <t>Персонал</t>
  </si>
  <si>
    <t xml:space="preserve">Общ брой на персонала на еквивалентна пълна заетост за услуга доставяне на вода на потребителите </t>
  </si>
  <si>
    <t xml:space="preserve">Общ брой на персонала на еквивалентна пълна заетост за услугите отвеждане и пречистване на отпадъчни води </t>
  </si>
  <si>
    <t xml:space="preserve">Общ брой на окончателните договори за присъединяване към канализационната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</si>
  <si>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водоснабдителната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</si>
  <si>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на окончателните договори за присъединяване към водоснабдителната система, по които са изпълнени предварителните условия за присъединяване и сроковете за присъединяване изтичат до края на отчетната година </t>
  </si>
  <si>
    <t xml:space="preserve">Общ брой на поземлените имоти, присъединени към канализационната система в сроковете и при условията, посочени в окончателните договори за присъединяване по чл. 84, ал. 2 от Закона за устройство на територията </t>
  </si>
  <si>
    <t xml:space="preserve">Общ брой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</si>
  <si>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други оплаквания за услугата отвеждане и пречистване на отпадъчни води </t>
  </si>
  <si>
    <t xml:space="preserve">Общ брой оплаквания за замърсявания, мирис и гризачи </t>
  </si>
  <si>
    <t xml:space="preserve">Общ брой оплаквания за наводнявания на имоти </t>
  </si>
  <si>
    <t xml:space="preserve">Общ брой оплаквания за  запушвания на канализационната мрежа </t>
  </si>
  <si>
    <t xml:space="preserve">Общ брой оплаквания на потребители за разглеждания период за услугите отвеждане и пречистване на отпадъчни води </t>
  </si>
  <si>
    <t xml:space="preserve">Общ брой други оплаквания за услугата доставяне на вода на потребителите </t>
  </si>
  <si>
    <t xml:space="preserve">Общ брой оплаквания за нарушено водоснабдяване </t>
  </si>
  <si>
    <t xml:space="preserve">Общ брой оплаквания на потребители за разглеждания период за услуга доставяне на вода на потребителите </t>
  </si>
  <si>
    <t xml:space="preserve">Общ брой оплаквания от потребители свързани с налягане във водоснабдителната система за разглеждания период </t>
  </si>
  <si>
    <t xml:space="preserve">Общ брой на отговори на оплаквания на потребители по отношение фактуриране на услугите доставяне на вода на потребителите и отвеждане и пречистване на отпадъчни води  </t>
  </si>
  <si>
    <t xml:space="preserve">Общ брой отговори на оплаквания на потребители за услугите отвеждане и пречистване на отпадъчни води  </t>
  </si>
  <si>
    <t xml:space="preserve">Общ брой отговори на оплаквания на потребители за услуга доставяне на вода на потребителите </t>
  </si>
  <si>
    <t>Общ брой отговори на оплаквания на потребители в срок от 14 дни.</t>
  </si>
  <si>
    <t xml:space="preserve">Общ брой на сградните канализационни отклонения </t>
  </si>
  <si>
    <t>Общ брой на сградните водопроводни отклонения</t>
  </si>
  <si>
    <t>Мониторинг на качеството на питейната вода</t>
  </si>
  <si>
    <t>Общ брой водомери на водоизточници</t>
  </si>
  <si>
    <t>Общ брой контролни водомери по мрежата (различни от водомери на водоизточници)</t>
  </si>
  <si>
    <t>Общ брой разходомери на ПСОВ</t>
  </si>
  <si>
    <t>Общ брой разходомери по канализационна мрежа</t>
  </si>
  <si>
    <t xml:space="preserve">Измерване  </t>
  </si>
  <si>
    <t>Добита сурова вода от повърхностни водоизточници</t>
  </si>
  <si>
    <t>Добита сурова вода от  подземни  водоизточници</t>
  </si>
  <si>
    <t>Подадена сурова вода от друг ВиК оператор/доставчик</t>
  </si>
  <si>
    <t>Подадена пречистена вода от друг ВиК оператор / доставчик</t>
  </si>
  <si>
    <r>
      <t xml:space="preserve">Обща дължина на довеждащите водопроводи и разпределителната водопроводна мрежа. В изчисляването на дължината на водопроводната мрежа не се включва дължината на сградните водопроводни отклонения, </t>
    </r>
    <r>
      <rPr>
        <b/>
        <sz val="10"/>
        <rFont val="Times New Roman"/>
        <family val="1"/>
        <charset val="204"/>
      </rPr>
      <t>както и дължината на водопроводите, по които се довежда вода до друг оператор, само в случаите когато се използват единствено за тази цел.</t>
    </r>
  </si>
  <si>
    <t>Разход, хил.лв.</t>
  </si>
  <si>
    <t>Средна цена на ел.енергия, лв/МВтч</t>
  </si>
  <si>
    <t>Специфичен разход кВтч/м3 вода на вход ВС</t>
  </si>
  <si>
    <t>Специфичен разход кВтч/м3 фактурирана вода</t>
  </si>
  <si>
    <t>Специфичен разход кВтч/м3 вода на вход ПСОВ</t>
  </si>
  <si>
    <t>Общо изразходвана ел.енергия за технологични нужди</t>
  </si>
  <si>
    <t>Приход, хил.лв.</t>
  </si>
  <si>
    <t>Описание на технически параметри на когенерация</t>
  </si>
  <si>
    <t>ВОДОСНАБДЯВАНЕ</t>
  </si>
  <si>
    <t>Брой</t>
  </si>
  <si>
    <t>Общо ремонти водоснабдяване</t>
  </si>
  <si>
    <t>КАНАЛИЗАЦИЯ</t>
  </si>
  <si>
    <t>Профилактика (почистване, продухване, други)</t>
  </si>
  <si>
    <t>Шурфове (изкопни дейности);пътни настилки</t>
  </si>
  <si>
    <t>Шурфове (изкопни дейности) разпределение от спомаг.д-ст</t>
  </si>
  <si>
    <t>2.10.</t>
  </si>
  <si>
    <t>Общо ремонти канализация</t>
  </si>
  <si>
    <t>Шурфове (изкопни дейности)разпределение от спомаг.д-ст и у-ние</t>
  </si>
  <si>
    <t>3.9.</t>
  </si>
  <si>
    <t>ПСОВ</t>
  </si>
  <si>
    <t>Общо ремонти ПСОВ</t>
  </si>
  <si>
    <t>2. Цифрите в редове "Проверка/ засичане на данни със справка 12" трябва да са нули, в противен случай ще трябва данните за разходи да се ревизират</t>
  </si>
  <si>
    <t>Разлика</t>
  </si>
  <si>
    <t xml:space="preserve"> Стойност на проекта             2017-2021
(хил.лв.)</t>
  </si>
  <si>
    <r>
      <t>хил.м</t>
    </r>
    <r>
      <rPr>
        <vertAlign val="superscript"/>
        <sz val="9"/>
        <rFont val="Times New Roman"/>
        <family val="1"/>
      </rPr>
      <t>3</t>
    </r>
    <r>
      <rPr>
        <sz val="9"/>
        <rFont val="Times New Roman"/>
        <family val="1"/>
      </rPr>
      <t xml:space="preserve">/год </t>
    </r>
  </si>
  <si>
    <t>Коеф.</t>
  </si>
  <si>
    <t>Увеличение (допълн. р-ди)</t>
  </si>
  <si>
    <t>Намаление (ефективност)</t>
  </si>
  <si>
    <t>Средносписъчен брой трудов договор</t>
  </si>
  <si>
    <t>Средносписъчен брой лица без трудов договор</t>
  </si>
  <si>
    <t>Брой лица по щатно разписание</t>
  </si>
  <si>
    <t>Брой служители</t>
  </si>
  <si>
    <t>Общ размер на разходите за възнаграждения (без граждански договори), хил.лв.</t>
  </si>
  <si>
    <t>Разходи за възнаграждения без граждански договори, хил.лв.</t>
  </si>
  <si>
    <t xml:space="preserve">Разходи за основна заплата </t>
  </si>
  <si>
    <t>Разходи за възнаграждения над основната заплата (наднормено и премии)</t>
  </si>
  <si>
    <t>Възнаграждения за платен отпуск</t>
  </si>
  <si>
    <t>Допълнителни и други възнаграждения (нощен труд, професионален стаж, извънреден труд, други)</t>
  </si>
  <si>
    <t>Обезщетения по КТ, ЗДС и КСО</t>
  </si>
  <si>
    <t>Социални и здравни осигуровки</t>
  </si>
  <si>
    <t>Други социални разходи и надбавки</t>
  </si>
  <si>
    <t>Стойност на параметъра</t>
  </si>
  <si>
    <t>Пределна норма на възвръщаемост на привлечения капитал, утвърдена от комисията</t>
  </si>
  <si>
    <t>Норма на възвращаемост на собствения капитал, утвърдена от комисията</t>
  </si>
  <si>
    <t>Нови дейности</t>
  </si>
  <si>
    <t>Нови активи</t>
  </si>
  <si>
    <t>Дължина на водопроводната мрежа (км)</t>
  </si>
  <si>
    <t>Дължина на канализационната мрежа (км)</t>
  </si>
  <si>
    <t>Количества вода на вход ВС (Q4) (хил.м3)</t>
  </si>
  <si>
    <t>Фактурирани количества отпадъчни води (хил.лв.)</t>
  </si>
  <si>
    <t>Вода на вход ПСОВ (хил.м3)</t>
  </si>
  <si>
    <t>Разходи за външни услуги (без разходи за доставяне на вода на входа на ВС от друг доставчик), хил.лв.</t>
  </si>
  <si>
    <t>Разходи за възнаграждения и осигуровки, хил.лв.</t>
  </si>
  <si>
    <t>Разходи за оперативен ремонт, хил.лв.</t>
  </si>
  <si>
    <t>Променливи разходи, хил.лв.</t>
  </si>
  <si>
    <r>
      <rPr>
        <b/>
        <sz val="9"/>
        <rFont val="Times New Roman"/>
        <family val="1"/>
        <charset val="204"/>
      </rPr>
      <t>Разходи за външни услуги</t>
    </r>
    <r>
      <rPr>
        <sz val="9"/>
        <rFont val="Times New Roman"/>
        <family val="1"/>
        <charset val="204"/>
      </rPr>
      <t xml:space="preserve"> (без разходи за доставяне на вода на входа на ВС от друг доставчик),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</si>
  <si>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възнаграждения и осигуровки</t>
    </r>
    <r>
      <rPr>
        <sz val="9"/>
        <rFont val="Times New Roman"/>
        <family val="1"/>
        <charset val="204"/>
      </rPr>
      <t xml:space="preserve">, </t>
    </r>
    <r>
      <rPr>
        <i/>
        <sz val="9"/>
        <rFont val="Times New Roman"/>
        <family val="1"/>
        <charset val="204"/>
      </rPr>
      <t>хил.лв/км за доставяне и отвеждане, хил.лв./хил.м3 вход ПСОВ за пречистване</t>
    </r>
  </si>
  <si>
    <r>
      <rPr>
        <b/>
        <sz val="9"/>
        <rFont val="Times New Roman"/>
        <family val="1"/>
        <charset val="204"/>
      </rPr>
      <t>Разходи за оперативен ремонт</t>
    </r>
    <r>
      <rPr>
        <sz val="9"/>
        <rFont val="Times New Roman"/>
        <family val="1"/>
        <charset val="204"/>
      </rPr>
      <t>, хил.лв/км за доставяне и отвеждане, хил.лв./хил.м3 вход ПСОВ за пречистване</t>
    </r>
  </si>
  <si>
    <r>
      <rPr>
        <b/>
        <sz val="9"/>
        <rFont val="Times New Roman"/>
        <family val="1"/>
        <charset val="204"/>
      </rPr>
      <t>Променливи разходи</t>
    </r>
    <r>
      <rPr>
        <sz val="9"/>
        <rFont val="Times New Roman"/>
        <family val="1"/>
        <charset val="204"/>
      </rPr>
      <t xml:space="preserve">, </t>
    </r>
    <r>
      <rPr>
        <i/>
        <sz val="9"/>
        <rFont val="Times New Roman"/>
        <family val="1"/>
        <charset val="204"/>
      </rPr>
      <t>хил.лв./хил.м3 вход ВС за доставяне, фактурирани количества за отвеждане, и вход ПСОВ за пречистване</t>
    </r>
  </si>
  <si>
    <t>Ефективност на разходите, включени в коеф. Е</t>
  </si>
  <si>
    <t>Разлика планирани инвестиции спрямо източници на финансиране</t>
  </si>
  <si>
    <t>в т.ч. в публични активи</t>
  </si>
  <si>
    <t>в т.ч. в собствени активи</t>
  </si>
  <si>
    <t>Инвестиции в собствени активи</t>
  </si>
  <si>
    <t>Инвестиции в публични активи</t>
  </si>
  <si>
    <t xml:space="preserve">Съществуващ дългосрочен заем 2 за изграждане на ДА </t>
  </si>
  <si>
    <t xml:space="preserve">Съществуващ дългосрочен заем за изграждане на ДА </t>
  </si>
  <si>
    <t xml:space="preserve">Съществуващ дългосрочен заем за изграждане на извадени от баланса публични ДА </t>
  </si>
  <si>
    <t xml:space="preserve"> Нов дългосрочен заем за изграждане на ДА </t>
  </si>
  <si>
    <t>Разлика на разходи за амортизации на собствени активи към инвестиции в собствени активи</t>
  </si>
  <si>
    <t>Разходи за амортизации на собствени активи</t>
  </si>
  <si>
    <t>Разходи за амортизации на публични активи, изградени със собствени средства</t>
  </si>
  <si>
    <t>Разлика на разходи за амортизации на публични активи, изградени със собствени средства към инвестиции в публични активи и разходи за главници по инвестиционни заеми</t>
  </si>
  <si>
    <t xml:space="preserve">Разходи за амортизации на публични активи, приети за експлоатация и поддръжка </t>
  </si>
  <si>
    <t>Дял на разходите за амортизации на публични активи, приети за експлоатация и поддръжка, включени в цените</t>
  </si>
  <si>
    <t>1.10</t>
  </si>
  <si>
    <t>Допълнителни разходи, включени в коефициент Qр за извършването на нови дейности и/или експлоатация на нови активи</t>
  </si>
  <si>
    <t>Собствени активи</t>
  </si>
  <si>
    <t>в т.ч. със собствени средства</t>
  </si>
  <si>
    <t>в т.ч. с привлечени средства</t>
  </si>
  <si>
    <t>Публични активи</t>
  </si>
  <si>
    <t>Разходи за главници на съществуващи дългосрочни заеми за изграждане на ДА (инвестиционни заеми)</t>
  </si>
  <si>
    <t>2.1.1.</t>
  </si>
  <si>
    <t>2.2.2.</t>
  </si>
  <si>
    <t>2.2.1.</t>
  </si>
  <si>
    <t>6.1.</t>
  </si>
  <si>
    <t>6.2.</t>
  </si>
  <si>
    <t>7.1.</t>
  </si>
  <si>
    <t>7.2.</t>
  </si>
  <si>
    <t>7.3.</t>
  </si>
  <si>
    <t>9.1.</t>
  </si>
  <si>
    <t>9.2.</t>
  </si>
  <si>
    <t>9.3.</t>
  </si>
  <si>
    <t>9.4.</t>
  </si>
  <si>
    <t>9.5.</t>
  </si>
  <si>
    <t>9.6.</t>
  </si>
  <si>
    <t>9.7.</t>
  </si>
  <si>
    <t>9.8.</t>
  </si>
  <si>
    <t>9.9.</t>
  </si>
  <si>
    <t>9.10.</t>
  </si>
  <si>
    <t>10.1.</t>
  </si>
  <si>
    <t>10.2.</t>
  </si>
  <si>
    <t>10.3.</t>
  </si>
  <si>
    <t>10.4.</t>
  </si>
  <si>
    <t>10.5.</t>
  </si>
  <si>
    <t>10.6.</t>
  </si>
  <si>
    <t>10.7.</t>
  </si>
  <si>
    <t>10.8.</t>
  </si>
  <si>
    <t>10.9.</t>
  </si>
  <si>
    <t>10.10.</t>
  </si>
  <si>
    <t>11.1.</t>
  </si>
  <si>
    <t>11.2.</t>
  </si>
  <si>
    <t>11.3.</t>
  </si>
  <si>
    <t>11.4.</t>
  </si>
  <si>
    <t>11.5.</t>
  </si>
  <si>
    <t>11.6.</t>
  </si>
  <si>
    <t>11.7.</t>
  </si>
  <si>
    <t>11.8.</t>
  </si>
  <si>
    <t>11.9.</t>
  </si>
  <si>
    <t>11.10.</t>
  </si>
  <si>
    <t>Разлика планирано финансиране на инвестиционната програма със заемни средства, и планирани заеми</t>
  </si>
  <si>
    <t xml:space="preserve">Разпределение на заема за услугата доставяне вода  на потребителите (%) </t>
  </si>
  <si>
    <t>Разпределение на заема за услугатаотвеждане на отпадъчни води (%)</t>
  </si>
  <si>
    <t>Разпределение на заема за услугата пречистване на отпадъчни води (%)</t>
  </si>
  <si>
    <t>2.За  коефициент на степени на замърсеност се попълва:</t>
  </si>
  <si>
    <t>ВиК операторът прилага обосновка за избраните стойности на коефициентите на замърсеност.</t>
  </si>
  <si>
    <t xml:space="preserve">2. Посочват се очаквани допълнителни разходи съгласно чл.21, ал.1, т.1 на НРЦВКУ, както и очаквани намаления на разходи вследствие повишена ефективност съгласно чл.21, ал.2 на НРЦВКУ за всяка от годините на регулаторния период.  </t>
  </si>
  <si>
    <t>3. Изчисленията за спестяване и ефективност и допълнително възникнали разходи се извършват спрямо отчетната година. За една категория разход е възможно да съществуват едновременно спестяване и допълнителен разход, породени от различни фактори. Нетният им ефект се изчислява резултативно в справка 12.</t>
  </si>
  <si>
    <r>
      <t xml:space="preserve">4. Сумите за допълнително възникнали разходи се посочват като </t>
    </r>
    <r>
      <rPr>
        <b/>
        <i/>
        <sz val="11"/>
        <rFont val="Times New Roman"/>
        <family val="1"/>
        <charset val="204"/>
      </rPr>
      <t>положителна</t>
    </r>
    <r>
      <rPr>
        <i/>
        <sz val="11"/>
        <rFont val="Times New Roman"/>
        <family val="1"/>
        <charset val="204"/>
      </rPr>
      <t xml:space="preserve"> величина, а сумите за намаление на разходите (спестяване и ефективност)- като </t>
    </r>
    <r>
      <rPr>
        <b/>
        <i/>
        <sz val="11"/>
        <rFont val="Times New Roman"/>
        <family val="1"/>
        <charset val="204"/>
      </rPr>
      <t>отрицателна</t>
    </r>
    <r>
      <rPr>
        <i/>
        <sz val="11"/>
        <rFont val="Times New Roman"/>
        <family val="1"/>
        <charset val="204"/>
      </rPr>
      <t xml:space="preserve"> величина.</t>
    </r>
  </si>
  <si>
    <t>5. Справката следва да бъде придружавана от обяснителен текст и таблична форма с подробни изчисления за спестяване и ефективност и допълнително възникнали разходи.</t>
  </si>
  <si>
    <t>6. В Справка "Допълнителни разходи, включени в коефициент Qр за извършването на нови дейности и/или експлоатация на нови активи" се попълват  разходите, които са в резултат на осъществяване на нови дейности и/или експлоатация и поддръжка на нови активи, за които ще се прилага коефициента Qр. Посочват се както очакваните разходи, така и конкретните нови дейности и/или нови активи, за които са прогнозирани допълнителните разходи.</t>
  </si>
  <si>
    <t>Информационни системи - собствени активи</t>
  </si>
  <si>
    <t>Информационни системи - публични активи</t>
  </si>
  <si>
    <t>ПК4б=(iA21/A3) * 100</t>
  </si>
  <si>
    <t>ПК6=(iDMAm/iDMAt)*100</t>
  </si>
  <si>
    <t>Верифицирането на информацията се извършва с предоставяне на информация от регистъра на активите, ГИС, база данни за контролни разходомери и дата логери, поддържани от ВиК оператора.</t>
  </si>
  <si>
    <t>Регистър на активите, ГИС, база данни за контролни разходомери и дата логери, поддържани от ВиК оператора.</t>
  </si>
  <si>
    <t>iDMAm се изчислява, като от общия брой водомерни зони се отчитат само тези зони, за които има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</si>
  <si>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Общият брой на водомерни зони в обслужваната от В и К оператора територия, определен на база големина на населените места, евентуални предвиждания за зониране на населените места между 2 и 10 хил. жители, и предвиждания за зониране на населени места &gt;10 хил.жители.</t>
  </si>
  <si>
    <t>При изчисляването на D28 се сумират авариите по водоснабдителната мрежа за отчетна годината. 
ВиК операторът подава информацията разделена в следните категории:
 - Аварии по довеждащи водопроводи
 - Аварии по разпределителни водопроводи
 - Аварии по арматури по водопроводната мрежа (СК, ПХ, въздушници, компенсатори, регулатори на налягане, други).
Аварии във връзката (водовземна скоба, фасонна част) между водопровода и сградното водопроводно отклонение се отчитат като аварии по водопровода. Авариите по сградното отклонение и/или водомерния възел не се включват в изчисляването на променливата D28.</t>
  </si>
  <si>
    <t xml:space="preserve">При изчисляването на D35 се сумират всички случаи през отчетната година на произведенията между броя на засегнатото население от прекъсване на водоснабдяването и съответстващата му продължителност. Прекъсване на водоснабдяването означава прекъсвания, продължаващи повече от 2 часа, причинени от авария във водоснабдителната мрежа и последващи мерки за ремонт/обновяване, които попадат в една от следните категории: 
- непланирани прекъсвания;
- прекъсвания, за които потребителите не са уведомени;
- планови прекъсвания, за които потребителите са уведомени;
Продължителност на прекъсването е времето от преустановяването на водоснабдяването (затваряне на първи спирателен кран в последователността на спиране) до  възстановяването на нормалното водоснабдяване (отваряне на последен спирателен кран в последователността на пускане).  </t>
  </si>
  <si>
    <t>ПК2в       Изпълнение на мониторинга на качеството на питейната вода по обем и честота, определени с наредбата по чл. 135, ал. 1, т. 3 от Закона за водите</t>
  </si>
  <si>
    <r>
      <t xml:space="preserve">ПК2а             Качество на питейната вода по показателите, които се мониторират, съгласно изискванията на наредбата по чл. 135, ал. 1, т. 3 от Закона за водите в </t>
    </r>
    <r>
      <rPr>
        <b/>
        <u/>
        <sz val="10"/>
        <color theme="4" tint="-0.249977111117893"/>
        <rFont val="Times New Roman"/>
        <family val="1"/>
        <charset val="204"/>
      </rPr>
      <t>големи</t>
    </r>
    <r>
      <rPr>
        <b/>
        <sz val="10"/>
        <color theme="4" tint="-0.249977111117893"/>
        <rFont val="Times New Roman"/>
        <family val="1"/>
        <charset val="204"/>
      </rPr>
      <t xml:space="preserve"> зони на водоснабдяване;</t>
    </r>
  </si>
  <si>
    <t>ПК1                       Ниво на покритие с водоснабдителни услуги</t>
  </si>
  <si>
    <r>
      <t xml:space="preserve">ПК2б           Качество на питейната вода по показателите, които се мониторират, съгласно изискванията на наредбата по чл. 135, ал. 1, т. 3 от Закона за водите в </t>
    </r>
    <r>
      <rPr>
        <b/>
        <u/>
        <sz val="10"/>
        <color theme="4" tint="-0.249977111117893"/>
        <rFont val="Times New Roman"/>
        <family val="1"/>
        <charset val="204"/>
      </rPr>
      <t>малки</t>
    </r>
    <r>
      <rPr>
        <b/>
        <sz val="10"/>
        <color theme="4" tint="-0.249977111117893"/>
        <rFont val="Times New Roman"/>
        <family val="1"/>
        <charset val="204"/>
      </rPr>
      <t xml:space="preserve"> зони на водоснабдяване;</t>
    </r>
  </si>
  <si>
    <t>ПК3 Непрекъснатост на водоснабдяването</t>
  </si>
  <si>
    <t>ПК5                      Аварии на водоснабдителната система</t>
  </si>
  <si>
    <t>ПК6                 Налягане във водоснабдителната система</t>
  </si>
  <si>
    <t>ПК7а                             Ниво на покритие с услугата отвеждане на отпадъчни води</t>
  </si>
  <si>
    <t>ПК7б                              Ниво на покритие с услугата пречистване на отпадъчни води</t>
  </si>
  <si>
    <t>ПК8                          Качество на пречистените отпадъчни води</t>
  </si>
  <si>
    <t xml:space="preserve">ПК4а  ПК4б      Общи загуби на вода във водоснабдителните системи  </t>
  </si>
  <si>
    <t>ПК9                          Аварии на канализационната система</t>
  </si>
  <si>
    <t>ПК10                      Наводнения в имоти на трети лица, причинени от канализацията</t>
  </si>
  <si>
    <t>ПК11а                        Енергийна ефективност за дейността по доставяне на вода на потребителите;</t>
  </si>
  <si>
    <t>ПК11б                   Енергийна ефективност за дейността по пречистване на отпадъчни води</t>
  </si>
  <si>
    <t>ПК11в Оползотворяване на утайките от ПСОВ</t>
  </si>
  <si>
    <t>ПК11г Рехабилитация на водопроводната мрежа</t>
  </si>
  <si>
    <t>ПК11д                   Активен контрол на течовете</t>
  </si>
  <si>
    <t>ПК12а               Ефективност на разходите за услугата доставяне на вода на потребителите</t>
  </si>
  <si>
    <t>ПК12б               Ефективност на разходите за услугата отвеждане на отпадъчни води</t>
  </si>
  <si>
    <t>ПК12в               Ефективност на разходите за услугата пречистване на отпадъчни води</t>
  </si>
  <si>
    <t>ПК12г Събираемост</t>
  </si>
  <si>
    <t>ПК12д                Ефективност на привеждане на водомерите в годност</t>
  </si>
  <si>
    <t>ПК12е                Ефективност на изграждане на водомерното стопанство</t>
  </si>
  <si>
    <t xml:space="preserve"> ПК13                     Срок за отговор на писмени жалби на потребителите</t>
  </si>
  <si>
    <t>ПК15а               Ефективност на персонала за услугата доставяне на вода на потребителите</t>
  </si>
  <si>
    <t>ПК15б           Ефективност на персонала за услугите отвеждане и пречистване на отпадъчни води</t>
  </si>
  <si>
    <t>ПК14б Присъединяване към канализационната система</t>
  </si>
  <si>
    <t>ПК14а Присъединяване към водоснабдителната система</t>
  </si>
  <si>
    <t>ПК11д = (D9 / С8)*100</t>
  </si>
  <si>
    <t>При изчисляването на D9 се сумират дължините на водопроводите, за които е реализиран процес на регулярно обследване и активен контрол на течовете (включително чрез микрофони, корелатори, акустични логери и други), при който се откриват и отстраняват скрити течове през съответната година. Обследваните водопроводи се регистрит в регистъра на активите и ГИС</t>
  </si>
  <si>
    <t xml:space="preserve">Регистър на активите (или еквивалентен)  </t>
  </si>
  <si>
    <t>Верифицирането на данните се извършва с предоставяне на информация от съответните регистри и ГИС. При верифицирането на данните се посочва информация не само за обследваната водопроводна мрежа, но и за броя на екипите извършващи тази дейност, ползваното оборудване, както и данни за откритите и отстранените скрити течове по видове активи (водопровод, СК, СВО, други).</t>
  </si>
  <si>
    <t>ПК12д = (iD45 / iE6)*100</t>
  </si>
  <si>
    <t>ПК12е = (iD44 / iE6)*100</t>
  </si>
  <si>
    <t>Променливата iE6 се изчислява като сума от всички водомери на СВО (средства за измерване), които са монтирани на сградни отклонения.</t>
  </si>
  <si>
    <t>Променливата iD45 включва сумата от всички водомери на СВО (средства за измерване), които са приведени в техническа и метрологична годност и отговарят на одобрения тип, които са монтирани на СВО през отчетната година. Включват се както водомери, тествани в лицензирана лаборатория, така и новомонтирани водомери</t>
  </si>
  <si>
    <t>Регистър на водомери на СВО (средства за измерване), ГИС, система за фактуриране</t>
  </si>
  <si>
    <t>Верифицирането на данните се извършва с предоставяне на информация от регистъра на водомери на СВО (средства за измерване), ГИС, система за фактуриране.</t>
  </si>
  <si>
    <t>При изчисляването на променливи iD45 и iE6 не се включват водомери, които не са монтирани на СВО</t>
  </si>
  <si>
    <t>Променливата iD44 включва сумата от всички водомери на СВО (средства за измерване), които са в техническа и метрологична годност и отговарят на одобрения тип</t>
  </si>
  <si>
    <t>Източник на информация (регистър/база данни/друго) - описание</t>
  </si>
  <si>
    <t>2. Качеството на информация се посочва с оценка от 1 до 4, съгласно указанията</t>
  </si>
  <si>
    <t>3. Източника на информация се посочва спрямо текущото състояние за отчетната 2015 г., и прогнозното състояние за 2021 г. в зависимост от планираното качество на информация</t>
  </si>
  <si>
    <t>Дял на водните количества на вход ВС без измерване (по разрешителни)</t>
  </si>
  <si>
    <t>Общо дял на водните количества</t>
  </si>
  <si>
    <r>
      <t>Дял на водните количества на вход ВС,</t>
    </r>
    <r>
      <rPr>
        <b/>
        <sz val="10"/>
        <rFont val="Times New Roman"/>
        <family val="1"/>
        <charset val="204"/>
      </rPr>
      <t xml:space="preserve"> измервани при водоизточника</t>
    </r>
    <r>
      <rPr>
        <sz val="10"/>
        <rFont val="Times New Roman"/>
        <family val="1"/>
        <charset val="204"/>
      </rPr>
      <t xml:space="preserve">  (чл.194а ал.1 от Закона за водите)</t>
    </r>
  </si>
  <si>
    <r>
      <t>Дял на водните количества на вход ВС,</t>
    </r>
    <r>
      <rPr>
        <b/>
        <sz val="10"/>
        <rFont val="Times New Roman"/>
        <family val="1"/>
        <charset val="204"/>
      </rPr>
      <t xml:space="preserve"> измервани на хранителната тръба на напорния резервоар или на довеждащия водопровод</t>
    </r>
    <r>
      <rPr>
        <sz val="10"/>
        <rFont val="Times New Roman"/>
        <family val="1"/>
        <charset val="204"/>
      </rPr>
      <t>, при техническа невъзможност за монтаж на измервателно устройство при водоизточника (чл.194а, ал.4 от Закона за водите)</t>
    </r>
  </si>
  <si>
    <t>Помпи (вкл.хидрофори)</t>
  </si>
  <si>
    <t xml:space="preserve">Общо количество на изразходваната електрическа енергия за пречистване на отпадъчна вода от ПСОВ експлоатирани от ВиК оператора  </t>
  </si>
  <si>
    <t xml:space="preserve">Общ брой оплаквания на потребители от ВиК услуги за разглеждания период. </t>
  </si>
  <si>
    <t>Общ брой оплаквания за качеството на питейната вода</t>
  </si>
  <si>
    <t>Продадена сурова вода на друг ВиК оператор</t>
  </si>
  <si>
    <t xml:space="preserve">Продадена пречистена вода на друг ВиК оператор </t>
  </si>
  <si>
    <t>степен на замърсеност 1</t>
  </si>
  <si>
    <t>степен на замърсеност 2</t>
  </si>
  <si>
    <t>степен на замърсеност 3</t>
  </si>
  <si>
    <t>Общо утайки за оползотворяване и депониране</t>
  </si>
  <si>
    <t>Налични утайки в началото на годината, които са произведени преди 2015 г.</t>
  </si>
  <si>
    <t>Оползотворени утайки, произведени преди 2015 г.</t>
  </si>
  <si>
    <t>Депонирани утайки, произведени преди 2015 г.</t>
  </si>
  <si>
    <t>Остатък утайки, които са произведени преди 2015 г.</t>
  </si>
  <si>
    <t>Налични утайки в началото на годината, които са произведени през периода 2015-2021 г.</t>
  </si>
  <si>
    <t>Остатък утайки, произведени през периода 2015-2021  г.</t>
  </si>
  <si>
    <t xml:space="preserve">Измервателни уреди </t>
  </si>
  <si>
    <t>Степен на замърсеност 1 - коефициент от 1,10 до 1,60 вкл.</t>
  </si>
  <si>
    <t>Степен на замърсеност 2 - коефициент над 1,60 до 2,00 вкл.</t>
  </si>
  <si>
    <t>Степен на замърсеност 3 - коефициент над 2,00 до 2,50 вкл.</t>
  </si>
  <si>
    <t>3.4</t>
  </si>
  <si>
    <t>3.5</t>
  </si>
  <si>
    <t>3.6</t>
  </si>
  <si>
    <t>3.7</t>
  </si>
  <si>
    <t>3.8</t>
  </si>
  <si>
    <t>Броят на водомерни зони, имащи постоянно измерване на дебит и налягане на вход/изход зона, с интервал на запис на данни от 15 минути и архивиране на данните в електронни бази данни, за период от минимум 1 година, и измервания в критична точка при необходимост</t>
  </si>
  <si>
    <t>Разходи за възнаграждения за персонал на пълна заетост на база щатно разписание, хил.лв.</t>
  </si>
  <si>
    <t>Справка № 6 - Отчет и прогнозно ниво на потребление на електроенергия за периода на бизнес плана</t>
  </si>
  <si>
    <t>Справка № 11.1 - Амортизация на новопридобити активи</t>
  </si>
  <si>
    <t>Справка № 11.2 - Новопродобити активи през отчетната година</t>
  </si>
  <si>
    <t>Справка № 12.1 - Изменения на годишните разходи спрямо отчетната година</t>
  </si>
  <si>
    <t>Справка № 19  - Възвръщаемост на капитала</t>
  </si>
  <si>
    <t>Справка № 4
 Отчет и прогнозно ниво на потребление на В и К услугите за периода на бизнес плана</t>
  </si>
  <si>
    <t>Общ брой водоизточници (основни и резервни)</t>
  </si>
  <si>
    <t>Общ брой служители на заетост, еквивалентна пълна заетост (ЕПЗ)</t>
  </si>
  <si>
    <t>Справка № 6
Отчет и прогнозно ниво на потребление на електроенергия за периода на бизнес плана</t>
  </si>
  <si>
    <t>Справка № 7
Оползотворяване на утайките от ПСОВ</t>
  </si>
  <si>
    <t>Дял на разходите за социални осигуровки от разходите за възнаграждения, %</t>
  </si>
  <si>
    <t>Дял на социалните разходи от разходите за възнаграждения, %</t>
  </si>
  <si>
    <t>Инвестиционна програма</t>
  </si>
  <si>
    <t>Справка № 11.1.
 Амортизация на новопридобити активи</t>
  </si>
  <si>
    <t xml:space="preserve">Справка № 11.2.
 Новопридобити активи през отчетната година </t>
  </si>
  <si>
    <t>Справка № 12
Годишни разходи</t>
  </si>
  <si>
    <t>Справка № 14
Прогнозен отчет за приходите и разходите</t>
  </si>
  <si>
    <t>Справка № 15
Прогнозен отчет за паричния поток</t>
  </si>
  <si>
    <t>Необходими  приходи</t>
  </si>
  <si>
    <t xml:space="preserve"> Оборотен капитал</t>
  </si>
  <si>
    <t>Възвръщаемост на капитала</t>
  </si>
  <si>
    <t>Цени за доставяне на вода, отвеждане и пречистване на отпадъчни води</t>
  </si>
  <si>
    <t xml:space="preserve">Разликата между водата на вход водоснабдителна система A3 (Q4 съгласно Наредба №1 от 05.05.2006 г. за утвърждаване на Методика за определяне на допустимите загуби на вода във водоснабдителните системи) и продадена фактурирана вода, iA10 (Q3 съгласно Наредба №1 от 05.05.2006 г.) представлява неносеща приходи вода (Q9 съгласно Наредба №1 от 05.05.2006 г.). Неносеща приходи вода се изчислява за отчетната година.
В допълнение на подадената информация за общи загуби на вода, В и К операторът подава  информация за количествата вода, предоставена на  други ВиК оператори, както и информация за количествата вода, предоставена за непитейни нужди за отчетната година.
Информацията, необходима за изчисляване на ПК4: Общи загуби на вода във водоснабдителните системи, се взема от системата за фактуриране, бази данни с измерените количества вода на вход водоснабдителна система и бази данни за изчисляване на неизмерената законна консумация или еквивалентни, поддържани от ВиК оператора.
</t>
  </si>
  <si>
    <t>ПК1=(F1/iE5)*100</t>
  </si>
  <si>
    <t>ПК2a=(iD51a/D51a)*100</t>
  </si>
  <si>
    <t>ПК2б=(iD51b/D51b)*100</t>
  </si>
  <si>
    <t>ПК2в=(iD98/iD99)*100</t>
  </si>
  <si>
    <t>ПК4a=[(A3-iA10)/iC8]/365</t>
  </si>
  <si>
    <t>ПК8=(iD97/iD96)*100</t>
  </si>
  <si>
    <t>ПК11в=(wA15/wA14)*100</t>
  </si>
  <si>
    <t>ПК11г=(D20/C8)*100</t>
  </si>
  <si>
    <t>ПК12г=[iG99-(iG98-iG97)]/(iG99+iG97)*100</t>
  </si>
  <si>
    <t>ПК13=(iF98/iF99)*100</t>
  </si>
  <si>
    <t>ПК14a=(iE8/iЕ10)*100</t>
  </si>
  <si>
    <t>ПК14б=(iwE8/iwE10)*100</t>
  </si>
  <si>
    <t>Изчислява се като сума от действителното потребление на ел.енергия от всички мощности за изпомпване на вода и друго потребление на ел.енергия за производство и разпределение. Следва да бъде отчетена чрез електромери.Следва да бъдат включени всички кВч за:
 - Изпомпване на сурова (непитейна) вода 
 - Пречистване (обеззаразяване) на вода
 - Доставяне/разпределение на чиста вода
 - Друго потребление за довеждане и разпределение на вода.
Не се включва електроенергията, която се изразходва за административни цели.</t>
  </si>
  <si>
    <t>Променливата wD13 се изчислява като обща сума от изразходваните кВч за отчетната година по пречистването на отпадъчни води.                                                                                                                                                                           Не се включва електроенергията, която се изразходва за административни цели.</t>
  </si>
  <si>
    <t xml:space="preserve">Верифициране на данните се извършва с предоставяне на информация от съответните регистри и ГИС, схеми / чертежи на изпълнени линейни ВиК обекти; приложени Разрешения за ползване и/или потвърждение от съответната община за изпълнен обект. </t>
  </si>
  <si>
    <t>Справка № 4 -  Отчет и прогнозно ниво на потребление на ВиК услугите за периода на бизнес плана</t>
  </si>
  <si>
    <t>Мобилни телефони</t>
  </si>
  <si>
    <t>Трафопост (трансформатор)</t>
  </si>
  <si>
    <t>2. В Група 1 "Собствени дълготрайни активи" за отчетната 2015 г. се попълват ДА, които са собственост на ВиК оператора през отчетната година и няма да бъдат извадени от капитала му при реализиране разпоредбите на ЗВ.</t>
  </si>
  <si>
    <t>Непризнати разходи</t>
  </si>
  <si>
    <t>Разходи за услугата доставяне на вода за друг ВиК оператор</t>
  </si>
  <si>
    <t xml:space="preserve">Разходи за услугата доставяне на непитейна вода </t>
  </si>
  <si>
    <t>Приходи от  услугата доставяне на вода за друг ВиК оператор</t>
  </si>
  <si>
    <t xml:space="preserve">Приходи от  услугата доставяне на непитейна вода </t>
  </si>
  <si>
    <t>Постъпления от  услугата доставяне на вода за друг ВиК оператор</t>
  </si>
  <si>
    <t xml:space="preserve">Постъпления от  услугата доставяне на непитейна вода </t>
  </si>
  <si>
    <t>Постъпления от нерегулирана дейност</t>
  </si>
  <si>
    <t>Приходи от нерегулирана дейност</t>
  </si>
  <si>
    <t>Постъпления от  ВиК услуги</t>
  </si>
  <si>
    <t>Постъпления от начислени лихви за предоставени ВиК услуги</t>
  </si>
  <si>
    <t>Приходи от ВиК услуги</t>
  </si>
  <si>
    <t>Приходи от начислени лихви за предоставени ВиК услуги</t>
  </si>
  <si>
    <t>покупка на ново и капиталов ремонт на съществуващо за извършване на СМР по канализационната мрежа</t>
  </si>
  <si>
    <t>покупка на нова и капиталов ремонт на съществуваща (каналочистачни машини, др.)</t>
  </si>
  <si>
    <t xml:space="preserve">сгради,съоръжения </t>
  </si>
  <si>
    <t>сгради, съоръжения</t>
  </si>
  <si>
    <t>ОБЩО</t>
  </si>
  <si>
    <t>Доставяне на вода за друг ВиКО</t>
  </si>
  <si>
    <t>Доставяне на вода с непитейни качества</t>
  </si>
  <si>
    <t>Регулаторен собствен капитал</t>
  </si>
  <si>
    <t>Има ли дружеството дългосрочни задължения по лихвени заеми и кредити за изграждане на извадени от баланса публични ДА и/или планира да вземе лихвени заеми и кредити за финансиране на инвестиционната си програма 2017-2021 г.?</t>
  </si>
  <si>
    <t>Ще се намали ли собствения капитал на дружеството в периода 2016-2021 г.?</t>
  </si>
  <si>
    <t>2. Намаляването на капитала (за регулаторни цели) се отразява през 2017 г.</t>
  </si>
  <si>
    <t>подмяна на съществуващи и монтаж на нови СК и ПХ  (в случаите, когато подмяната им не е част от реконструкция на ВиК мрежата)</t>
  </si>
  <si>
    <t>4. В Група 3 "Публични Дълготрайни Активи, предоставени на ВиК оператора за експлоатация и поддръжка" за отчетната 2015 г. се попълват всички ДА съгласно описите за разпределение на собствеността на ВиК активите - публична държавна и общинска собственост, изготвени и изпратени към МРРБ за отчетната година, включващи всички ДА които ще бъдат предоставени на ВиК оператора за стопанисване, експлоатация и поддръжка с договор по реда на Закона за водите или Закона за концесиите (включително  активи в баланса на ВиК оператора, които следва да бъдат извадени, както и активи, изградени със средства на общините и на държавата).</t>
  </si>
  <si>
    <t>Помпи, вкл. хидрофорни уредби</t>
  </si>
  <si>
    <t>Друго специализирано оборудване</t>
  </si>
  <si>
    <t>съотношение</t>
  </si>
  <si>
    <t>Изразходвана ел.енергия за услугата доставяне вода на друг ВиК оператор</t>
  </si>
  <si>
    <t>Изразходвана ел.енергия за услугата доставяне вода с непитейни качества</t>
  </si>
  <si>
    <t>Данни за договори на свободен пазар</t>
  </si>
  <si>
    <t>Процент влажност на произведените утайки</t>
  </si>
  <si>
    <t>Процент влажност на оползотворените утайки</t>
  </si>
  <si>
    <t>Процент влажност на депонираните утайки</t>
  </si>
  <si>
    <t>3. В Група 2 "Публични Дълготрайни Активи, изградени със собствени средства" за отчетната 2015 г. се попълват публични ДА, изградени след сключване на договор по реда на Закона за водите или Закона за концесиите, респективно след реализиране на дейностите по изваждане на публични ДА от баланса на ВиК оператора</t>
  </si>
  <si>
    <t>Загуби при доставяне сурова вода на друг ВиК оператор</t>
  </si>
  <si>
    <t>Загуби при доставяне пречистена вода на друг ВиК оператор</t>
  </si>
  <si>
    <t>Прооверка балансова стойност</t>
  </si>
  <si>
    <r>
      <t>м</t>
    </r>
    <r>
      <rPr>
        <vertAlign val="superscript"/>
        <sz val="8"/>
        <rFont val="Times New Roman"/>
        <family val="1"/>
        <charset val="204"/>
      </rPr>
      <t>3</t>
    </r>
    <r>
      <rPr>
        <sz val="8"/>
        <rFont val="Times New Roman"/>
        <family val="1"/>
      </rPr>
      <t>/км/ден</t>
    </r>
  </si>
  <si>
    <r>
      <t>кВч/м</t>
    </r>
    <r>
      <rPr>
        <vertAlign val="superscript"/>
        <sz val="8"/>
        <rFont val="Times New Roman"/>
        <family val="1"/>
        <charset val="204"/>
      </rPr>
      <t>3</t>
    </r>
  </si>
  <si>
    <r>
      <t>м</t>
    </r>
    <r>
      <rPr>
        <vertAlign val="superscript"/>
        <sz val="10"/>
        <rFont val="Times New Roman"/>
        <family val="1"/>
        <charset val="204"/>
      </rPr>
      <t>3</t>
    </r>
    <r>
      <rPr>
        <sz val="10"/>
        <rFont val="Times New Roman"/>
        <family val="1"/>
      </rPr>
      <t>/км/ден</t>
    </r>
  </si>
  <si>
    <r>
      <t>м</t>
    </r>
    <r>
      <rPr>
        <vertAlign val="superscript"/>
        <sz val="10"/>
        <rFont val="Times New Roman"/>
        <family val="1"/>
        <charset val="204"/>
      </rPr>
      <t>3</t>
    </r>
  </si>
  <si>
    <t>5. Цифрите в редове "Проверка балансова стойност" трябва да са нули, в противен случай да се ревизират отчетна стойност, натрупана амортизация и/или балансова стойност.</t>
  </si>
  <si>
    <t>Год. аморт. норма</t>
  </si>
  <si>
    <t>Счето-водна сметка</t>
  </si>
  <si>
    <t>% 
годишна аморти-зация</t>
  </si>
  <si>
    <t>Очакван ефект във връзка с
 нивата на услугите</t>
  </si>
  <si>
    <t>Проектна готовност в т.ч. 
предварително проучване</t>
  </si>
  <si>
    <t>ВиК операторите, които не са сключили договор по Закона за водите през 2015 г., респективно няма да бъдат извадени дълготрайни активи към 2015 г., следва да посочат ВиК активите, изградени чрез инвестиционната програма за 2015 г., които предстои да бъдат извадени от баланса на дружествот, в Група 3 на Амортизационния план.</t>
  </si>
  <si>
    <r>
      <t>Съществуващ дългосрочен заем 1</t>
    </r>
    <r>
      <rPr>
        <b/>
        <sz val="9"/>
        <color rgb="FFFF0000"/>
        <rFont val="Times New Roman"/>
        <family val="1"/>
        <charset val="204"/>
      </rPr>
      <t xml:space="preserve"> за изграждане на извадени от баланса публични ДА </t>
    </r>
  </si>
  <si>
    <r>
      <t>Съществуващ дългосрочен заем 2</t>
    </r>
    <r>
      <rPr>
        <b/>
        <sz val="9"/>
        <color rgb="FFFF0000"/>
        <rFont val="Times New Roman"/>
        <family val="1"/>
        <charset val="204"/>
      </rPr>
      <t xml:space="preserve"> за изграждане на извадени от баланса публични ДА </t>
    </r>
  </si>
  <si>
    <t>Разходи за амортизации на публични активи от Група 3 включени в цените на ВиК услуги за финансиране на инвестиции в публични активи и изплащане на главници на инвестиционни заеми</t>
  </si>
  <si>
    <t>1. В клетките в жълт цвят се попълва НЦОК в дни по групи ВиК оператори:</t>
  </si>
  <si>
    <t>2017г.</t>
  </si>
  <si>
    <t>2018г.</t>
  </si>
  <si>
    <t>2019г.</t>
  </si>
  <si>
    <t>2020г.</t>
  </si>
  <si>
    <t>2021г.</t>
  </si>
  <si>
    <t>Големи ВиК оператори</t>
  </si>
  <si>
    <t>Средни ВиК оператори</t>
  </si>
  <si>
    <t>Микро ВиК оператори</t>
  </si>
  <si>
    <t xml:space="preserve">Малки ВиК оператори </t>
  </si>
  <si>
    <t>4. Посочва се утвърдената от Комисията норма на възвръщаемост на собствения капитал както следва:</t>
  </si>
  <si>
    <t>45 Посочва се норма на възвръщаемост на привлечения капитал съгласно реалните действащи нива. В случай, че реалните норми надвхърлят пределните норми на възвръщаемост на привлечения капитал, утвърдени от Комисията, се посочват както следва:</t>
  </si>
  <si>
    <t>Приложение №2</t>
  </si>
  <si>
    <t>Цена по договор на свободен пазар за доставка на ел.енергия "Ниско напрежение" лв./мВтч</t>
  </si>
  <si>
    <t>Цена по договор на свободен пазар за доставка на ел.енергия "Средно напражение" лв./мВтч</t>
  </si>
  <si>
    <t>Цена по договор на свободен пазар за доставка на ел.енергия "Високо напрежение" лв./мВтч</t>
  </si>
  <si>
    <t xml:space="preserve">Лице за контакт с КЕВР: </t>
  </si>
  <si>
    <r>
      <t>Големи ВиК оператори (без "Софийска вода" АД): НВск =</t>
    </r>
    <r>
      <rPr>
        <b/>
        <sz val="9"/>
        <rFont val="Times New Roman"/>
        <family val="1"/>
        <charset val="204"/>
      </rPr>
      <t xml:space="preserve"> 7,99%</t>
    </r>
  </si>
  <si>
    <r>
      <t xml:space="preserve">3. Задължително се попълват отговорите на въпросите ред 8, колона С и ред 9, колона С - </t>
    </r>
    <r>
      <rPr>
        <b/>
        <i/>
        <sz val="10"/>
        <rFont val="Times New Roman"/>
        <family val="1"/>
        <charset val="204"/>
      </rPr>
      <t>ДА, НЕ</t>
    </r>
  </si>
  <si>
    <r>
      <t>"Софийска вода" АД: НВск =</t>
    </r>
    <r>
      <rPr>
        <b/>
        <sz val="9"/>
        <rFont val="Times New Roman"/>
        <family val="1"/>
        <charset val="204"/>
      </rPr>
      <t xml:space="preserve"> 9,94%</t>
    </r>
    <r>
      <rPr>
        <sz val="9"/>
        <rFont val="Times New Roman"/>
        <family val="1"/>
      </rPr>
      <t xml:space="preserve"> (прилага се след предоговаряне на договора за концесия)</t>
    </r>
  </si>
  <si>
    <r>
      <t xml:space="preserve">Средни ВиК оператори: НВск = </t>
    </r>
    <r>
      <rPr>
        <b/>
        <sz val="9"/>
        <rFont val="Times New Roman"/>
        <family val="1"/>
        <charset val="204"/>
      </rPr>
      <t>7,59%</t>
    </r>
  </si>
  <si>
    <r>
      <t xml:space="preserve">Малки ВиК оператори: НВск = </t>
    </r>
    <r>
      <rPr>
        <b/>
        <sz val="9"/>
        <rFont val="Times New Roman"/>
        <family val="1"/>
        <charset val="204"/>
      </rPr>
      <t>7,58%</t>
    </r>
  </si>
  <si>
    <r>
      <t xml:space="preserve">Микро ВиК оператори: НВск = </t>
    </r>
    <r>
      <rPr>
        <b/>
        <sz val="9"/>
        <rFont val="Times New Roman"/>
        <family val="1"/>
        <charset val="204"/>
      </rPr>
      <t>7,56%</t>
    </r>
  </si>
  <si>
    <r>
      <t xml:space="preserve">Големи ВиК оператори (включително "Софийска вода" АД): НВпк = </t>
    </r>
    <r>
      <rPr>
        <b/>
        <sz val="9"/>
        <rFont val="Times New Roman"/>
        <family val="1"/>
        <charset val="204"/>
      </rPr>
      <t>4,60%</t>
    </r>
  </si>
  <si>
    <r>
      <t xml:space="preserve">Средни ВиК оператори: НВпк = </t>
    </r>
    <r>
      <rPr>
        <b/>
        <sz val="9"/>
        <rFont val="Times New Roman"/>
        <family val="1"/>
        <charset val="204"/>
      </rPr>
      <t>5,30%</t>
    </r>
  </si>
  <si>
    <r>
      <t xml:space="preserve">Малки ВиК оператори: НВпк = </t>
    </r>
    <r>
      <rPr>
        <b/>
        <sz val="9"/>
        <rFont val="Times New Roman"/>
        <family val="1"/>
        <charset val="204"/>
      </rPr>
      <t>5,54%</t>
    </r>
  </si>
  <si>
    <r>
      <t xml:space="preserve">Микро ВиК оператори: НВпк = </t>
    </r>
    <r>
      <rPr>
        <b/>
        <sz val="9"/>
        <rFont val="Times New Roman"/>
        <family val="1"/>
        <charset val="204"/>
      </rPr>
      <t>5,59%</t>
    </r>
  </si>
  <si>
    <t>Други съоръжения- собствени активи</t>
  </si>
  <si>
    <t>20403-</t>
  </si>
  <si>
    <t xml:space="preserve">Други съоръжения - публични активи, изградени със собствени средства  </t>
  </si>
  <si>
    <t>Отчетна стойност - НОВИ АКТИВИ</t>
  </si>
  <si>
    <t>Отчетна стойност - АКТИВИ С ИЗТИЧАЩ ЖИВОТ</t>
  </si>
  <si>
    <t>I.-II.</t>
  </si>
  <si>
    <t>Собствени дългтрайни активи  и                                    Публични Дълготрайни Активи, изградени със собствени средства</t>
  </si>
  <si>
    <r>
      <t xml:space="preserve">4. В случай, че през периода 2016 - 2021 г. ще бъдат придобити нови публични активи за експлоатация и поддръжка, тяхната отчетна стойност се посочва в </t>
    </r>
    <r>
      <rPr>
        <b/>
        <i/>
        <sz val="10"/>
        <rFont val="Times New Roman"/>
        <family val="1"/>
        <charset val="204"/>
      </rPr>
      <t xml:space="preserve">т.1.1. в категория III </t>
    </r>
    <r>
      <rPr>
        <i/>
        <sz val="10"/>
        <rFont val="Times New Roman"/>
        <family val="1"/>
        <charset val="204"/>
      </rPr>
      <t xml:space="preserve">-Публични дълготрайни активи, предоставени на ВиК оператора за експлоатация и поддръжка. В </t>
    </r>
    <r>
      <rPr>
        <b/>
        <i/>
        <sz val="10"/>
        <rFont val="Times New Roman"/>
        <family val="1"/>
        <charset val="204"/>
      </rPr>
      <t>т.1.2 на категория III</t>
    </r>
    <r>
      <rPr>
        <i/>
        <sz val="10"/>
        <rFont val="Times New Roman"/>
        <family val="1"/>
        <charset val="204"/>
      </rPr>
      <t xml:space="preserve"> се  посочва отчетната стойност на публични активи, чийто полезен живот свършва в съответната година (отчетната стойност на активите, чийто полезен живот свършва през 2015 г. се посочват през 2016 г.). Резултативната величина на двете отчетни стойности ще калкулира разхода за амортизация съответно в посока увеличение или намаление. </t>
    </r>
  </si>
  <si>
    <t>4. Справка №2 се попълва за ВС основна, и за ВС "Вода с непитейни качества". Справка №2 не се попълва за ВС "Вода за друг ВиК оператор"</t>
  </si>
  <si>
    <t>2. Посочва се информация съгласно данните в Справка №2</t>
  </si>
  <si>
    <t>3. Справка №3 се попълва за ВС основна, и за ВС "Вода с непитейни качества". Справка №2 не се попълва за ВС "Вода за друг ВиК оператор"</t>
  </si>
  <si>
    <t>2. Справка №12 се попълва за всички ВС</t>
  </si>
  <si>
    <t>1.Попълват се само клетките в жълт цвят</t>
  </si>
  <si>
    <t>2. Справка №13 се попълва само за ВС основна</t>
  </si>
  <si>
    <t>2. Справка №14 се попълва само за ВС основна</t>
  </si>
  <si>
    <t>3. Справка №15 се попълва само за ВС основна</t>
  </si>
  <si>
    <t>Недостиг на собствени средства спрямо предвидените инвестиции в публични ДА</t>
  </si>
  <si>
    <t>4. Разпределението на главниците на дългосрочните инвестиционни заеми се посочва на база ВиК активите изградени със заема. Ако са изградени и активи, които обслужват различни услуги, сумата се разпределя на база инвестициите в преки активи.</t>
  </si>
  <si>
    <t>2. Справка №10 се попълва само за ВС основна в частта за заеми. За ВС "Вода с непитейни качества" и ВС "Вода за друг ВиК оператор" се попълват данни в ред 7.2 в случай, че са предвидени инвестиции, и се ползват разходи за амортизации на публичните задбалансови активи от група III на амортизационния план.</t>
  </si>
  <si>
    <t>3. Попълват се само дългосрочни заеми за изграждане на дълготрайни активи (инвестиционни заеми). В редове 10 се посочват само инвестиционни заеми, по които са изградени ДА, които се изваждат от баланса на ВиК оператора</t>
  </si>
  <si>
    <t>5.Ред 4 обобщава разходите за главници от текущите инвестиционни заеми, както и от бъдещи заеми за изграждане на публични ДА</t>
  </si>
  <si>
    <r>
      <t xml:space="preserve">6. Ред 7.2  се попълва </t>
    </r>
    <r>
      <rPr>
        <b/>
        <i/>
        <sz val="10"/>
        <color rgb="FFFF0000"/>
        <rFont val="Times New Roman"/>
        <family val="1"/>
        <charset val="204"/>
      </rPr>
      <t>ръчно</t>
    </r>
    <r>
      <rPr>
        <i/>
        <sz val="10"/>
        <rFont val="Times New Roman"/>
        <family val="1"/>
        <charset val="204"/>
      </rPr>
      <t xml:space="preserve"> от ВиК оператора, в зависимост от недостига, изчислен в ред 6.2, и размера на разходите в ред 7.1.</t>
    </r>
  </si>
  <si>
    <t>7. Ред 8 изчислява недостига на собствени средства за инвестиции в публични ДА, след използването на разходи за амортизации на активите от група III на амортизационния план.</t>
  </si>
  <si>
    <r>
      <t xml:space="preserve">Нов дългосрочен заем 1 за изграждане на </t>
    </r>
    <r>
      <rPr>
        <b/>
        <sz val="9"/>
        <rFont val="Times New Roman"/>
        <family val="1"/>
        <charset val="204"/>
      </rPr>
      <t xml:space="preserve"> ДА </t>
    </r>
  </si>
  <si>
    <r>
      <t xml:space="preserve">Нов дългосрочен заем 2 за изграждане на </t>
    </r>
    <r>
      <rPr>
        <b/>
        <sz val="9"/>
        <rFont val="Times New Roman"/>
        <family val="1"/>
        <charset val="204"/>
      </rPr>
      <t xml:space="preserve"> ДА </t>
    </r>
  </si>
  <si>
    <t>3. Справка №4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добити и подадени количества в редове 1.1-1.8, вкл. за ВС "Вода за друг ВиК оператор" (всички системи, ако са повече от една) . За ВС "Вода за друг ВиК оператор" се попълват данни за вход, продадена вода и загуби за съответната ВС. За ВС "Вода с непитейни качества" се попълват самостоятелни данни за вход, продадена вода и загуби.</t>
  </si>
  <si>
    <t xml:space="preserve">2. Справка №5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персонал по услуги, включително и данни за ВС "Вода с непитейни качества", и ВС "Вода за друг ВиК оператор" (всички системи, ако са повече от една). За ВС "Вода за друг ВиК оператор" и  ВС "Вода с непитейни качества" се попълват данни за персонала за съответната ВС след разпределение съгласно принципите на ЕСРО.  </t>
  </si>
  <si>
    <t xml:space="preserve">2. Справка №6 се попълва за всички водоснабдителни системи - ВС основна, ВС "Вода с непитейни качества", и ВС "Вода за друг ВиК оператор". За ВС основна се попълват всички данни за електроенергия по услуги, включително и данни за ВС "Вода с непитейни качества", и ВС "Вода за друг ВиК оператор" (всички системи, ако са повече от една). За ВС "Вода за друг ВиК оператор" и  ВС "Вода с непитейни качества" се попълват данни за електроенергия за съответната ВС след разпределение съгласно принципите на ЕСРО.  </t>
  </si>
  <si>
    <t xml:space="preserve">2. Справка №7 се попълва само за ВС основна.  </t>
  </si>
  <si>
    <t xml:space="preserve">2. Справка №8 се попълва за  ВС основна и ВС "Вода с непитейни качества". За ВС "Вода за друг ВиК оператор" се попълват данни само ако системата е обособена и работи изцяло за друг ВиК оператор. Ако ВС  "Вода за друг ВиК оператор" подава вода и към ВС основна, то Справка №8 не се попълва, а се посочват разпределените разходи за ремонт съгласно принципите на ЕСРО в Справка №12 и 12.1.  </t>
  </si>
  <si>
    <t>2. Справка №9 се попълва за всички ВС. В случай, че има ВС "Вода за друг ВиК оператор" в която се предвиждат инвестиции, то във ВС основна се посочва и дела на разпределените инвестиции съгласно принципите на ЕСРО, и общите натурални показатели, а за ВС  "Вода за друг ВиК оператор" се посочва само стойността на разпределените инвестиции съгласно принципите на ЕСРО. Ако ВС "Вода за друг ВиК оператор" е обособена и работи изцяло за друг ВиК оператор, тогава се посочват инвестициите и натуралните показатели.</t>
  </si>
  <si>
    <t xml:space="preserve">3. За периода 2016 - 2021 г. се посочва (със знак "+") отчетната стойност на активи, които ще достигнат своя полезен живот през съответната година и не следва да им тече амортизация. </t>
  </si>
  <si>
    <t>5. Справка №11.2 се попълва за всички ВС</t>
  </si>
  <si>
    <t xml:space="preserve">2. Справката се изготвя с цел коректното прогнозиране за периода на Бизнес плана  на годишните разходи за амортизация на активите, придобити към края на отчетната година. 
 Затова е небходимо да се преизчисли годишната амортизация на новопридобитите активи през отчетната година.  За тази цел в колоната за отчетната година следва да се посочи
 отчетната стойност на нововъведените активи през отчетната година и начислената амортизация на тези активи през годината. </t>
  </si>
  <si>
    <t>7. Справка №12.1 се попълва за всички ВС</t>
  </si>
  <si>
    <t>регистър лабораторни изследвания</t>
  </si>
  <si>
    <t>разходи за малоценни и малотрайни предмети</t>
  </si>
  <si>
    <t>оборудване при клиента</t>
  </si>
  <si>
    <t>абонаментно поддържане</t>
  </si>
  <si>
    <t>обезщетения за неизползвани отпуски по чл.221</t>
  </si>
  <si>
    <t>обезщетение по КТ</t>
  </si>
  <si>
    <t>обезщетения по съдебни дела</t>
  </si>
  <si>
    <t>почистващи материали</t>
  </si>
  <si>
    <t>обезщетения по КТ</t>
  </si>
  <si>
    <t>обезщенения по съдебни дела</t>
  </si>
  <si>
    <t>членси внос</t>
  </si>
  <si>
    <t>членски внос</t>
  </si>
  <si>
    <t>депониране на утайки</t>
  </si>
  <si>
    <t>услуга строителство</t>
  </si>
  <si>
    <t>база данни</t>
  </si>
  <si>
    <t>ДА</t>
  </si>
  <si>
    <t>НЕ</t>
  </si>
  <si>
    <t>ЕСГР</t>
  </si>
  <si>
    <t>регистър</t>
  </si>
  <si>
    <t>Враца</t>
  </si>
  <si>
    <t>816090199</t>
  </si>
  <si>
    <t>Верка Димитрова</t>
  </si>
  <si>
    <t>Ангел Престойски</t>
  </si>
  <si>
    <t xml:space="preserve">"Водоснабдяване и канализация" ООД </t>
  </si>
  <si>
    <t>ул.Ал.Стамболийски 2</t>
  </si>
  <si>
    <t>BG816090199</t>
  </si>
  <si>
    <t>Р-е от 18.11.1991г.-02.12.1998г.</t>
  </si>
  <si>
    <t>Държавата-10 070 дяла-51%</t>
  </si>
  <si>
    <t>Община Враца-3 949 дяла-20%</t>
  </si>
  <si>
    <t>Община Б.Слатина-1 579 дяла-8%</t>
  </si>
  <si>
    <t>Община Мездра-1 185 дяла-6%</t>
  </si>
  <si>
    <t>Община Оряхово-790 дяла-4%</t>
  </si>
  <si>
    <t>Община Мизия-395 дяла-2%</t>
  </si>
  <si>
    <t>Община Роман-395 дяла-2%</t>
  </si>
  <si>
    <t>ПК:3000,гр.Враца, ул.Ал.Стамболийски 2</t>
  </si>
  <si>
    <t>Ангел Цветков Престойски</t>
  </si>
  <si>
    <t>092/66 12 23</t>
  </si>
  <si>
    <t>0887593637</t>
  </si>
  <si>
    <t>092/66 09 77</t>
  </si>
  <si>
    <t>vik_vratca@abv.bg</t>
  </si>
  <si>
    <t>Верка Димитрова Иванова</t>
  </si>
  <si>
    <t>092/66 98 23</t>
  </si>
  <si>
    <t>0886754828</t>
  </si>
  <si>
    <t>инж.Кирил Борисов Кочев</t>
  </si>
  <si>
    <t>092/66 98 34</t>
  </si>
  <si>
    <t>0887921257</t>
  </si>
  <si>
    <t>Бойко Борисов Ничев</t>
  </si>
  <si>
    <t>092/66 98 20</t>
  </si>
  <si>
    <t>0888316758</t>
  </si>
  <si>
    <t>092/09 66 77</t>
  </si>
  <si>
    <t>Зорница Красимирова Асенова</t>
  </si>
  <si>
    <t>инкасо софтуер</t>
  </si>
  <si>
    <t>регистър ПТО</t>
  </si>
  <si>
    <t>регистър ПСОВ</t>
  </si>
  <si>
    <t>регистър жалби</t>
  </si>
  <si>
    <t>27.06.2016г.</t>
  </si>
  <si>
    <t>Борован-2%</t>
  </si>
  <si>
    <t>Криводол-3%</t>
  </si>
  <si>
    <t>Хаиредин-2%</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</si>
</sst>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л_в_._-;\-* #,##0.00\ _л_в_._-;_-* &quot;-&quot;??\ _л_в_._-;_-@_-"/>
    <numFmt numFmtId="164" formatCode="_(* #,##0.00_);_(* \(#,##0.00\);_(* &quot;-&quot;??_);_(@_)"/>
    <numFmt numFmtId="165" formatCode="_-* #,##0.00\ _л_в_-;\-* #,##0.00\ _л_в_-;_-* &quot;-&quot;??\ _л_в_-;_-@_-"/>
    <numFmt numFmtId="166" formatCode="#,##0.0000"/>
    <numFmt numFmtId="167" formatCode="#,##0_ ;[Red]\-#,##0\ "/>
    <numFmt numFmtId="168" formatCode="#,##0;[Red]#,##0"/>
    <numFmt numFmtId="169" formatCode="0.0000"/>
    <numFmt numFmtId="170" formatCode="0\ \г."/>
    <numFmt numFmtId="171" formatCode="#,##0.000"/>
    <numFmt numFmtId="172" formatCode="0.0%"/>
    <numFmt numFmtId="173" formatCode="#,##0\ _л_в_."/>
    <numFmt numFmtId="174" formatCode="0_ ;[Red]\-0\ "/>
    <numFmt numFmtId="175" formatCode="#,##0.0"/>
    <numFmt numFmtId="176" formatCode="_(* #,##0_);_(* \(#,##0\);_(* &quot;-&quot;??_);_(@_)"/>
  </numFmts>
  <fonts count="138">
    <font>
      <sz val="10"/>
      <name val="Arial"/>
      <charset val="204"/>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charset val="204"/>
    </font>
    <font>
      <b/>
      <i/>
      <sz val="10"/>
      <name val="Times New Roman"/>
      <family val="1"/>
      <charset val="204"/>
    </font>
    <font>
      <sz val="9"/>
      <name val="Arial"/>
      <family val="2"/>
      <charset val="204"/>
    </font>
    <font>
      <b/>
      <sz val="14"/>
      <name val="Times New Roman"/>
      <family val="1"/>
      <charset val="204"/>
    </font>
    <font>
      <sz val="14"/>
      <name val="Times New Roman"/>
      <family val="1"/>
      <charset val="204"/>
    </font>
    <font>
      <u/>
      <sz val="10"/>
      <color indexed="12"/>
      <name val="Timok"/>
      <family val="2"/>
    </font>
    <font>
      <u/>
      <sz val="9"/>
      <color indexed="12"/>
      <name val="Timok"/>
      <family val="2"/>
    </font>
    <font>
      <b/>
      <sz val="11"/>
      <name val="Times New Roman"/>
      <family val="1"/>
      <charset val="204"/>
    </font>
    <font>
      <b/>
      <sz val="12"/>
      <name val="Times New Roman"/>
      <family val="1"/>
      <charset val="204"/>
    </font>
    <font>
      <b/>
      <sz val="10"/>
      <name val="Times New Roman"/>
      <family val="1"/>
      <charset val="204"/>
    </font>
    <font>
      <b/>
      <sz val="8"/>
      <name val="Times New Roman"/>
      <family val="1"/>
      <charset val="204"/>
    </font>
    <font>
      <sz val="11"/>
      <color indexed="8"/>
      <name val="Calibri"/>
      <family val="2"/>
      <charset val="204"/>
    </font>
    <font>
      <sz val="11"/>
      <color indexed="9"/>
      <name val="Calibri"/>
      <family val="2"/>
      <charset val="204"/>
    </font>
    <font>
      <sz val="10"/>
      <name val="Hebar"/>
      <family val="2"/>
      <charset val="204"/>
    </font>
    <font>
      <b/>
      <sz val="11"/>
      <color indexed="8"/>
      <name val="Calibri"/>
      <family val="2"/>
      <charset val="204"/>
    </font>
    <font>
      <u/>
      <sz val="11"/>
      <color indexed="12"/>
      <name val="Calibri"/>
      <family val="2"/>
      <charset val="204"/>
    </font>
    <font>
      <sz val="10"/>
      <name val="Arial"/>
      <family val="2"/>
      <charset val="204"/>
    </font>
    <font>
      <b/>
      <sz val="18"/>
      <color indexed="62"/>
      <name val="Cambria"/>
      <family val="2"/>
      <charset val="204"/>
    </font>
    <font>
      <b/>
      <sz val="12"/>
      <color indexed="18"/>
      <name val="Arial"/>
      <family val="2"/>
    </font>
    <font>
      <b/>
      <sz val="9"/>
      <color indexed="81"/>
      <name val="Tahoma"/>
      <family val="2"/>
      <charset val="204"/>
    </font>
    <font>
      <sz val="9"/>
      <color indexed="81"/>
      <name val="Tahoma"/>
      <family val="2"/>
      <charset val="204"/>
    </font>
    <font>
      <b/>
      <i/>
      <sz val="12"/>
      <name val="Times New Roman"/>
      <family val="1"/>
      <charset val="204"/>
    </font>
    <font>
      <i/>
      <sz val="12"/>
      <name val="Times New Roman"/>
      <family val="1"/>
      <charset val="204"/>
    </font>
    <font>
      <sz val="12"/>
      <name val="Times New Roman"/>
      <family val="1"/>
      <charset val="204"/>
    </font>
    <font>
      <i/>
      <sz val="11"/>
      <name val="Times New Roman"/>
      <family val="1"/>
      <charset val="204"/>
    </font>
    <font>
      <i/>
      <sz val="8"/>
      <name val="Times New Roman"/>
      <family val="1"/>
      <charset val="204"/>
    </font>
    <font>
      <i/>
      <sz val="10"/>
      <name val="Arial"/>
      <family val="2"/>
      <charset val="204"/>
    </font>
    <font>
      <sz val="10"/>
      <color theme="1"/>
      <name val="Times New Roman"/>
      <family val="1"/>
      <charset val="204"/>
    </font>
    <font>
      <sz val="10"/>
      <name val="Arial"/>
      <family val="2"/>
      <charset val="204"/>
    </font>
    <font>
      <b/>
      <sz val="9"/>
      <name val="Times New Roman"/>
      <family val="1"/>
      <charset val="204"/>
    </font>
    <font>
      <sz val="9"/>
      <name val="Times New Roman"/>
      <family val="1"/>
      <charset val="204"/>
    </font>
    <font>
      <i/>
      <sz val="9"/>
      <name val="Times New Roman"/>
      <family val="1"/>
      <charset val="204"/>
    </font>
    <font>
      <i/>
      <sz val="10"/>
      <name val="Times New Roman"/>
      <family val="1"/>
      <charset val="204"/>
    </font>
    <font>
      <sz val="12"/>
      <name val="Arial"/>
      <family val="2"/>
      <charset val="204"/>
    </font>
    <font>
      <sz val="9"/>
      <name val="Times New Roman"/>
      <family val="1"/>
    </font>
    <font>
      <b/>
      <i/>
      <sz val="9"/>
      <name val="Times New Roman"/>
      <family val="1"/>
      <charset val="204"/>
    </font>
    <font>
      <b/>
      <sz val="9"/>
      <name val="Times New Roman"/>
      <family val="1"/>
    </font>
    <font>
      <b/>
      <u/>
      <sz val="9"/>
      <name val="Times New Roman"/>
      <family val="1"/>
      <charset val="204"/>
    </font>
    <font>
      <b/>
      <sz val="12"/>
      <color indexed="9"/>
      <name val="Times New Roman"/>
      <family val="1"/>
      <charset val="204"/>
    </font>
    <font>
      <b/>
      <u/>
      <sz val="10"/>
      <name val="Times New Roman"/>
      <family val="1"/>
      <charset val="204"/>
    </font>
    <font>
      <sz val="10"/>
      <color indexed="10"/>
      <name val="Times New Roman"/>
      <family val="1"/>
      <charset val="204"/>
    </font>
    <font>
      <sz val="11"/>
      <name val="Times New Roman"/>
      <family val="1"/>
      <charset val="204"/>
    </font>
    <font>
      <b/>
      <i/>
      <sz val="11"/>
      <name val="Times New Roman"/>
      <family val="1"/>
      <charset val="204"/>
    </font>
    <font>
      <sz val="11"/>
      <name val="Arial"/>
      <family val="2"/>
      <charset val="204"/>
    </font>
    <font>
      <u/>
      <sz val="11"/>
      <color indexed="12"/>
      <name val="Timok"/>
      <family val="2"/>
    </font>
    <font>
      <b/>
      <u/>
      <sz val="11"/>
      <name val="Times New Roman"/>
      <family val="1"/>
      <charset val="204"/>
    </font>
    <font>
      <sz val="8"/>
      <name val="Times New Roman"/>
      <family val="1"/>
      <charset val="204"/>
    </font>
    <font>
      <sz val="10"/>
      <color indexed="9"/>
      <name val="Arial"/>
      <family val="2"/>
      <charset val="204"/>
    </font>
    <font>
      <sz val="10"/>
      <name val="Times New Roman"/>
      <family val="1"/>
    </font>
    <font>
      <vertAlign val="superscript"/>
      <sz val="10"/>
      <name val="Times New Roman"/>
      <family val="1"/>
    </font>
    <font>
      <sz val="11"/>
      <color indexed="10"/>
      <name val="Times New Roman"/>
      <family val="1"/>
      <charset val="204"/>
    </font>
    <font>
      <b/>
      <sz val="11"/>
      <name val="Times New Roman CYR"/>
      <charset val="204"/>
    </font>
    <font>
      <sz val="10"/>
      <color indexed="10"/>
      <name val="Times New Roman"/>
      <family val="1"/>
    </font>
    <font>
      <sz val="9"/>
      <color indexed="10"/>
      <name val="Times New Roman"/>
      <family val="1"/>
    </font>
    <font>
      <sz val="11"/>
      <name val="Times New Roman"/>
      <family val="1"/>
    </font>
    <font>
      <sz val="10"/>
      <color indexed="9"/>
      <name val="Times New Roman"/>
      <family val="1"/>
      <charset val="204"/>
    </font>
    <font>
      <b/>
      <sz val="10"/>
      <color rgb="FFFF0000"/>
      <name val="Times New Roman"/>
      <family val="1"/>
      <charset val="204"/>
    </font>
    <font>
      <b/>
      <sz val="10"/>
      <name val="Times New Roman"/>
      <family val="1"/>
    </font>
    <font>
      <b/>
      <sz val="12"/>
      <color rgb="FFFF0000"/>
      <name val="Arial"/>
      <family val="2"/>
      <charset val="204"/>
    </font>
    <font>
      <u/>
      <sz val="9"/>
      <color indexed="12"/>
      <name val="Times New Roman"/>
      <family val="1"/>
      <charset val="204"/>
    </font>
    <font>
      <b/>
      <sz val="10"/>
      <color theme="1"/>
      <name val="Times New Roman"/>
      <family val="1"/>
      <charset val="204"/>
    </font>
    <font>
      <b/>
      <sz val="10"/>
      <name val="Arial"/>
      <family val="2"/>
      <charset val="204"/>
    </font>
    <font>
      <b/>
      <sz val="12"/>
      <name val="Times New Roman"/>
      <family val="1"/>
    </font>
    <font>
      <sz val="12"/>
      <name val="Times New Roman"/>
      <family val="1"/>
    </font>
    <font>
      <b/>
      <i/>
      <sz val="12"/>
      <name val="Times New Roman"/>
      <family val="1"/>
    </font>
    <font>
      <i/>
      <sz val="12"/>
      <name val="Times New Roman"/>
      <family val="1"/>
    </font>
    <font>
      <b/>
      <sz val="10"/>
      <color theme="4" tint="-0.249977111117893"/>
      <name val="Times New Roman"/>
      <family val="1"/>
      <charset val="204"/>
    </font>
    <font>
      <b/>
      <sz val="10"/>
      <color indexed="10"/>
      <name val="Times New Roman"/>
      <family val="1"/>
      <charset val="204"/>
    </font>
    <font>
      <i/>
      <sz val="11"/>
      <name val="Arial"/>
      <family val="2"/>
      <charset val="204"/>
    </font>
    <font>
      <sz val="11"/>
      <color rgb="FFFF0000"/>
      <name val="Times New Roman"/>
      <family val="1"/>
      <charset val="204"/>
    </font>
    <font>
      <sz val="10"/>
      <color rgb="FFFF0000"/>
      <name val="Arial"/>
      <family val="2"/>
      <charset val="204"/>
    </font>
    <font>
      <b/>
      <sz val="11"/>
      <color rgb="FFFF0000"/>
      <name val="Times New Roman"/>
      <family val="1"/>
      <charset val="204"/>
    </font>
    <font>
      <b/>
      <sz val="9"/>
      <color theme="1"/>
      <name val="Times New Roman"/>
      <family val="1"/>
      <charset val="204"/>
    </font>
    <font>
      <sz val="12"/>
      <name val="TmsCyr"/>
    </font>
    <font>
      <b/>
      <sz val="14"/>
      <name val="Times New Roman"/>
      <family val="1"/>
    </font>
    <font>
      <sz val="10"/>
      <name val="Arial"/>
      <family val="2"/>
    </font>
    <font>
      <sz val="10"/>
      <color rgb="FFFF0000"/>
      <name val="Times New Roman"/>
      <family val="1"/>
      <charset val="204"/>
    </font>
    <font>
      <u/>
      <sz val="11"/>
      <name val="Timok"/>
      <family val="2"/>
    </font>
    <font>
      <i/>
      <u/>
      <sz val="11"/>
      <name val="Timok"/>
      <family val="2"/>
    </font>
    <font>
      <b/>
      <i/>
      <sz val="11"/>
      <name val="Times New Roman"/>
      <family val="1"/>
    </font>
    <font>
      <b/>
      <i/>
      <sz val="10"/>
      <name val="Times New Roman"/>
      <family val="1"/>
    </font>
    <font>
      <b/>
      <sz val="11"/>
      <name val="Times New Roman"/>
      <family val="1"/>
    </font>
    <font>
      <sz val="9"/>
      <color indexed="81"/>
      <name val="Tahoma"/>
      <family val="2"/>
    </font>
    <font>
      <b/>
      <sz val="9"/>
      <color indexed="81"/>
      <name val="Tahoma"/>
      <family val="2"/>
    </font>
    <font>
      <sz val="11"/>
      <color theme="1"/>
      <name val="Calibri"/>
      <family val="2"/>
      <charset val="204"/>
      <scheme val="minor"/>
    </font>
    <font>
      <i/>
      <sz val="10"/>
      <name val="Times New Roman"/>
      <family val="1"/>
    </font>
    <font>
      <i/>
      <sz val="10"/>
      <color rgb="FF000000"/>
      <name val="Times New Roman"/>
      <family val="1"/>
    </font>
    <font>
      <u/>
      <sz val="12"/>
      <color indexed="12"/>
      <name val="Times New Roman"/>
      <family val="1"/>
    </font>
    <font>
      <b/>
      <sz val="11"/>
      <name val="Arial"/>
      <family val="2"/>
      <charset val="204"/>
    </font>
    <font>
      <sz val="11"/>
      <name val="Arial"/>
      <family val="2"/>
    </font>
    <font>
      <b/>
      <sz val="10"/>
      <name val="Arial"/>
      <family val="2"/>
    </font>
    <font>
      <b/>
      <sz val="16"/>
      <name val="Times New Roman"/>
      <family val="1"/>
      <charset val="204"/>
    </font>
    <font>
      <sz val="10"/>
      <color theme="3"/>
      <name val="Times New Roman"/>
      <family val="1"/>
      <charset val="204"/>
    </font>
    <font>
      <sz val="10"/>
      <color theme="3"/>
      <name val="Arial"/>
      <family val="2"/>
      <charset val="204"/>
    </font>
    <font>
      <sz val="10"/>
      <color theme="0" tint="-0.34998626667073579"/>
      <name val="Arial"/>
      <family val="2"/>
      <charset val="204"/>
    </font>
    <font>
      <b/>
      <sz val="10"/>
      <color theme="0" tint="-0.34998626667073579"/>
      <name val="Arial"/>
      <family val="2"/>
      <charset val="204"/>
    </font>
    <font>
      <sz val="10"/>
      <color theme="0" tint="-0.499984740745262"/>
      <name val="Times New Roman"/>
      <family val="1"/>
      <charset val="204"/>
    </font>
    <font>
      <sz val="12"/>
      <color theme="0" tint="-0.499984740745262"/>
      <name val="Times New Roman"/>
      <family val="1"/>
      <charset val="204"/>
    </font>
    <font>
      <sz val="10"/>
      <color rgb="FFFF0000"/>
      <name val="Arial"/>
      <family val="2"/>
    </font>
    <font>
      <i/>
      <sz val="10"/>
      <color rgb="FFFF0000"/>
      <name val="Arial"/>
      <family val="2"/>
    </font>
    <font>
      <sz val="11"/>
      <color rgb="FFFF0000"/>
      <name val="Arial"/>
      <family val="2"/>
    </font>
    <font>
      <b/>
      <sz val="10"/>
      <color rgb="FFFF0000"/>
      <name val="Arial"/>
      <family val="2"/>
    </font>
    <font>
      <sz val="9"/>
      <color rgb="FFFF0000"/>
      <name val="Times New Roman"/>
      <family val="1"/>
      <charset val="204"/>
    </font>
    <font>
      <i/>
      <sz val="9"/>
      <color rgb="FFFF0000"/>
      <name val="Times New Roman"/>
      <family val="1"/>
      <charset val="204"/>
    </font>
    <font>
      <sz val="10"/>
      <color theme="1"/>
      <name val="Arial"/>
      <family val="2"/>
      <charset val="204"/>
    </font>
    <font>
      <b/>
      <sz val="10"/>
      <color rgb="FFFF0000"/>
      <name val="Times New Roman"/>
      <family val="1"/>
    </font>
    <font>
      <i/>
      <sz val="10"/>
      <name val="Arial"/>
      <family val="2"/>
    </font>
    <font>
      <sz val="8"/>
      <name val="Times New Roman"/>
      <family val="1"/>
    </font>
    <font>
      <i/>
      <sz val="10"/>
      <color theme="1"/>
      <name val="Times New Roman"/>
      <family val="1"/>
      <charset val="204"/>
    </font>
    <font>
      <i/>
      <sz val="10"/>
      <color rgb="FFFF0000"/>
      <name val="Times New Roman"/>
      <family val="1"/>
    </font>
    <font>
      <sz val="9"/>
      <color theme="3"/>
      <name val="Times New Roman"/>
      <family val="1"/>
      <charset val="204"/>
    </font>
    <font>
      <b/>
      <sz val="9"/>
      <color theme="3"/>
      <name val="Times New Roman"/>
      <family val="1"/>
      <charset val="204"/>
    </font>
    <font>
      <b/>
      <sz val="9"/>
      <name val="Arial"/>
      <family val="2"/>
      <charset val="204"/>
    </font>
    <font>
      <b/>
      <sz val="9"/>
      <color rgb="FFFF0000"/>
      <name val="Times New Roman"/>
      <family val="1"/>
      <charset val="204"/>
    </font>
    <font>
      <i/>
      <sz val="10"/>
      <color rgb="FFFF0000"/>
      <name val="Times New Roman"/>
      <family val="1"/>
      <charset val="204"/>
    </font>
    <font>
      <sz val="9"/>
      <color theme="3"/>
      <name val="Arial"/>
      <family val="2"/>
      <charset val="204"/>
    </font>
    <font>
      <i/>
      <sz val="10"/>
      <color theme="0" tint="-0.499984740745262"/>
      <name val="Times New Roman"/>
      <family val="1"/>
      <charset val="204"/>
    </font>
    <font>
      <vertAlign val="superscript"/>
      <sz val="9"/>
      <name val="Times New Roman"/>
      <family val="1"/>
    </font>
    <font>
      <sz val="9"/>
      <color theme="1"/>
      <name val="Times New Roman"/>
      <family val="1"/>
      <charset val="204"/>
    </font>
    <font>
      <i/>
      <sz val="9"/>
      <color theme="3"/>
      <name val="Times New Roman"/>
      <family val="1"/>
      <charset val="204"/>
    </font>
    <font>
      <b/>
      <u/>
      <sz val="11"/>
      <color indexed="12"/>
      <name val="Timok"/>
      <family val="2"/>
    </font>
    <font>
      <sz val="9"/>
      <name val="Arial"/>
      <family val="2"/>
    </font>
    <font>
      <sz val="10"/>
      <color rgb="FF000000"/>
      <name val="Times New Roman"/>
      <family val="1"/>
      <charset val="204"/>
    </font>
    <font>
      <b/>
      <u/>
      <sz val="10"/>
      <color theme="4" tint="-0.249977111117893"/>
      <name val="Times New Roman"/>
      <family val="1"/>
      <charset val="204"/>
    </font>
    <font>
      <u/>
      <sz val="12"/>
      <color indexed="12"/>
      <name val="Times New Roman"/>
      <family val="1"/>
      <charset val="204"/>
    </font>
    <font>
      <b/>
      <sz val="9"/>
      <color theme="3"/>
      <name val="Arial"/>
      <family val="2"/>
      <charset val="204"/>
    </font>
    <font>
      <b/>
      <sz val="10"/>
      <color theme="3"/>
      <name val="Arial"/>
      <family val="2"/>
      <charset val="204"/>
    </font>
    <font>
      <sz val="10"/>
      <name val="Arial"/>
      <family val="2"/>
      <charset val="204"/>
    </font>
    <font>
      <vertAlign val="superscript"/>
      <sz val="8"/>
      <name val="Times New Roman"/>
      <family val="1"/>
      <charset val="204"/>
    </font>
    <font>
      <vertAlign val="superscript"/>
      <sz val="10"/>
      <name val="Times New Roman"/>
      <family val="1"/>
      <charset val="204"/>
    </font>
    <font>
      <i/>
      <sz val="8"/>
      <color rgb="FFFF0000"/>
      <name val="Arial"/>
      <family val="2"/>
    </font>
    <font>
      <sz val="8"/>
      <name val="Arial"/>
      <family val="2"/>
    </font>
    <font>
      <b/>
      <i/>
      <sz val="8"/>
      <name val="Times New Roman"/>
      <family val="1"/>
      <charset val="204"/>
    </font>
    <font>
      <b/>
      <i/>
      <sz val="10"/>
      <color rgb="FFFF0000"/>
      <name val="Times New Roman"/>
      <family val="1"/>
      <charset val="204"/>
    </font>
  </fonts>
  <fills count="47">
    <fill>
      <patternFill patternType="none"/>
    </fill>
    <fill>
      <patternFill patternType="gray125"/>
    </fill>
    <fill>
      <patternFill patternType="solid">
        <fgColor indexed="42"/>
        <bgColor indexed="64"/>
      </patternFill>
    </fill>
    <fill>
      <patternFill patternType="solid">
        <fgColor indexed="26"/>
        <bgColor indexed="64"/>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15"/>
      </patternFill>
    </fill>
    <fill>
      <patternFill patternType="solid">
        <fgColor indexed="22"/>
      </patternFill>
    </fill>
    <fill>
      <patternFill patternType="gray125">
        <bgColor indexed="42"/>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1"/>
      </patternFill>
    </fill>
    <fill>
      <patternFill patternType="solid">
        <fgColor indexed="44"/>
      </patternFill>
    </fill>
    <fill>
      <patternFill patternType="solid">
        <fgColor theme="5" tint="0.59999389629810485"/>
        <bgColor indexed="64"/>
      </patternFill>
    </fill>
    <fill>
      <patternFill patternType="solid">
        <fgColor indexed="9"/>
        <bgColor indexed="64"/>
      </patternFill>
    </fill>
    <fill>
      <patternFill patternType="solid">
        <fgColor indexed="4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47"/>
        <bgColor indexed="64"/>
      </patternFill>
    </fill>
    <fill>
      <patternFill patternType="solid">
        <fgColor indexed="27"/>
        <bgColor indexed="64"/>
      </patternFill>
    </fill>
    <fill>
      <patternFill patternType="solid">
        <fgColor indexed="42"/>
        <bgColor indexed="63"/>
      </patternFill>
    </fill>
    <fill>
      <patternFill patternType="solid">
        <fgColor indexed="29"/>
        <bgColor indexed="64"/>
      </patternFill>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lightGray">
        <bgColor theme="0"/>
      </patternFill>
    </fill>
    <fill>
      <patternFill patternType="solid">
        <fgColor rgb="FF07EDF9"/>
        <bgColor indexed="64"/>
      </patternFill>
    </fill>
    <fill>
      <patternFill patternType="solid">
        <fgColor rgb="FFCCFFFF"/>
        <bgColor indexed="64"/>
      </patternFill>
    </fill>
    <fill>
      <patternFill patternType="solid">
        <fgColor rgb="FFB7ECFF"/>
        <bgColor indexed="64"/>
      </patternFill>
    </fill>
    <fill>
      <patternFill patternType="solid">
        <fgColor rgb="FFEAEAEA"/>
        <bgColor indexed="64"/>
      </patternFill>
    </fill>
    <fill>
      <patternFill patternType="solid">
        <fgColor rgb="FF00CCFF"/>
        <bgColor indexed="64"/>
      </patternFill>
    </fill>
    <fill>
      <patternFill patternType="solid">
        <fgColor rgb="FF66FFFF"/>
        <bgColor indexed="64"/>
      </patternFill>
    </fill>
    <fill>
      <patternFill patternType="solid">
        <fgColor rgb="FFCCECFF"/>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14999847407452621"/>
        <bgColor indexed="63"/>
      </patternFill>
    </fill>
    <fill>
      <patternFill patternType="solid">
        <fgColor theme="7" tint="0.79998168889431442"/>
        <bgColor indexed="64"/>
      </patternFill>
    </fill>
    <fill>
      <patternFill patternType="solid">
        <fgColor rgb="FFCCFFCC"/>
        <bgColor indexed="64"/>
      </patternFill>
    </fill>
    <fill>
      <patternFill patternType="solid">
        <fgColor rgb="FFC00000"/>
        <bgColor indexed="64"/>
      </patternFill>
    </fill>
    <fill>
      <patternFill patternType="solid">
        <fgColor rgb="FFFF0000"/>
        <bgColor indexed="64"/>
      </patternFill>
    </fill>
  </fills>
  <borders count="12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thin">
        <color indexed="8"/>
      </top>
      <bottom/>
      <diagonal/>
    </border>
    <border>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style="medium">
        <color indexed="64"/>
      </right>
      <top style="thin">
        <color indexed="8"/>
      </top>
      <bottom/>
      <diagonal/>
    </border>
    <border>
      <left style="medium">
        <color indexed="64"/>
      </left>
      <right style="medium">
        <color indexed="64"/>
      </right>
      <top style="thin">
        <color indexed="8"/>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medium">
        <color indexed="64"/>
      </bottom>
      <diagonal style="thin">
        <color indexed="64"/>
      </diagonal>
    </border>
    <border diagonalUp="1" diagonalDown="1">
      <left style="thin">
        <color indexed="64"/>
      </left>
      <right style="medium">
        <color indexed="64"/>
      </right>
      <top style="medium">
        <color indexed="64"/>
      </top>
      <bottom style="medium">
        <color indexed="64"/>
      </bottom>
      <diagonal style="thin">
        <color indexed="64"/>
      </diagonal>
    </border>
    <border diagonalUp="1" diagonalDown="1">
      <left style="medium">
        <color indexed="64"/>
      </left>
      <right style="medium">
        <color indexed="64"/>
      </right>
      <top style="medium">
        <color indexed="64"/>
      </top>
      <bottom style="thin">
        <color indexed="64"/>
      </bottom>
      <diagonal style="thin">
        <color indexed="64"/>
      </diagonal>
    </border>
    <border>
      <left style="dashed">
        <color auto="1"/>
      </left>
      <right style="dashed">
        <color auto="1"/>
      </right>
      <top style="dashed">
        <color auto="1"/>
      </top>
      <bottom style="dashed">
        <color auto="1"/>
      </bottom>
      <diagonal/>
    </border>
    <border>
      <left style="dashed">
        <color auto="1"/>
      </left>
      <right style="dashed">
        <color auto="1"/>
      </right>
      <top style="dashed">
        <color auto="1"/>
      </top>
      <bottom/>
      <diagonal/>
    </border>
    <border>
      <left style="dashed">
        <color auto="1"/>
      </left>
      <right style="dashed">
        <color auto="1"/>
      </right>
      <top/>
      <bottom/>
      <diagonal/>
    </border>
    <border>
      <left style="dashed">
        <color auto="1"/>
      </left>
      <right style="dashed">
        <color auto="1"/>
      </right>
      <top/>
      <bottom style="dashed">
        <color auto="1"/>
      </bottom>
      <diagonal/>
    </border>
    <border>
      <left/>
      <right style="dashed">
        <color auto="1"/>
      </right>
      <top style="dashed">
        <color auto="1"/>
      </top>
      <bottom style="dashed">
        <color auto="1"/>
      </bottom>
      <diagonal/>
    </border>
    <border>
      <left style="dashed">
        <color auto="1"/>
      </left>
      <right/>
      <top style="dashed">
        <color auto="1"/>
      </top>
      <bottom style="dashed">
        <color auto="1"/>
      </bottom>
      <diagonal/>
    </border>
    <border>
      <left/>
      <right/>
      <top style="dashed">
        <color auto="1"/>
      </top>
      <bottom style="dashed">
        <color auto="1"/>
      </bottom>
      <diagonal/>
    </border>
    <border diagonalUp="1" diagonalDown="1">
      <left style="medium">
        <color indexed="64"/>
      </left>
      <right style="thin">
        <color indexed="64"/>
      </right>
      <top style="medium">
        <color indexed="64"/>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medium">
        <color indexed="64"/>
      </left>
      <right style="medium">
        <color indexed="64"/>
      </right>
      <top style="thin">
        <color indexed="64"/>
      </top>
      <bottom style="medium">
        <color indexed="64"/>
      </bottom>
      <diagonal style="thin">
        <color indexed="64"/>
      </diagonal>
    </border>
    <border diagonalUp="1" diagonalDown="1">
      <left style="medium">
        <color indexed="64"/>
      </left>
      <right style="thin">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medium">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diagonalUp="1" diagonalDown="1">
      <left style="medium">
        <color indexed="64"/>
      </left>
      <right style="medium">
        <color indexed="64"/>
      </right>
      <top/>
      <bottom/>
      <diagonal style="thin">
        <color indexed="64"/>
      </diagonal>
    </border>
    <border diagonalUp="1" diagonalDown="1">
      <left style="medium">
        <color indexed="64"/>
      </left>
      <right style="thin">
        <color indexed="64"/>
      </right>
      <top/>
      <bottom/>
      <diagonal style="thin">
        <color indexed="64"/>
      </diagonal>
    </border>
    <border diagonalUp="1" diagonalDown="1">
      <left style="thin">
        <color indexed="64"/>
      </left>
      <right style="medium">
        <color indexed="64"/>
      </right>
      <top/>
      <bottom/>
      <diagonal style="thin">
        <color indexed="64"/>
      </diagonal>
    </border>
    <border diagonalUp="1" diagonalDown="1">
      <left style="medium">
        <color indexed="64"/>
      </left>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left style="medium">
        <color indexed="64"/>
      </left>
      <right/>
      <top style="thin">
        <color indexed="8"/>
      </top>
      <bottom/>
      <diagonal/>
    </border>
    <border>
      <left/>
      <right/>
      <top style="thin">
        <color indexed="8"/>
      </top>
      <bottom/>
      <diagonal/>
    </border>
    <border>
      <left style="medium">
        <color indexed="64"/>
      </left>
      <right/>
      <top style="thin">
        <color indexed="8"/>
      </top>
      <bottom style="medium">
        <color indexed="64"/>
      </bottom>
      <diagonal/>
    </border>
    <border>
      <left style="thin">
        <color indexed="64"/>
      </left>
      <right/>
      <top/>
      <bottom style="medium">
        <color indexed="64"/>
      </bottom>
      <diagonal/>
    </border>
    <border>
      <left style="dashed">
        <color auto="1"/>
      </left>
      <right/>
      <top style="medium">
        <color indexed="64"/>
      </top>
      <bottom style="medium">
        <color indexed="64"/>
      </bottom>
      <diagonal/>
    </border>
    <border diagonalUp="1" diagonalDown="1">
      <left style="thin">
        <color indexed="64"/>
      </left>
      <right style="thin">
        <color indexed="64"/>
      </right>
      <top style="medium">
        <color indexed="64"/>
      </top>
      <bottom/>
      <diagonal style="thin">
        <color indexed="64"/>
      </diagonal>
    </border>
    <border diagonalUp="1" diagonalDown="1">
      <left style="thin">
        <color indexed="64"/>
      </left>
      <right style="medium">
        <color indexed="64"/>
      </right>
      <top style="medium">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style="medium">
        <color indexed="64"/>
      </right>
      <top/>
      <bottom style="medium">
        <color indexed="64"/>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style="medium">
        <color indexed="64"/>
      </bottom>
      <diagonal style="thin">
        <color indexed="64"/>
      </diagonal>
    </border>
    <border diagonalUp="1" diagonalDown="1">
      <left style="medium">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s>
  <cellStyleXfs count="56">
    <xf numFmtId="0" fontId="0" fillId="0" borderId="0"/>
    <xf numFmtId="9" fontId="3" fillId="0" borderId="0" applyFont="0" applyFill="0" applyBorder="0" applyAlignment="0" applyProtection="0"/>
    <xf numFmtId="0" fontId="9" fillId="0" borderId="0" applyNumberFormat="0" applyFill="0" applyBorder="0" applyAlignment="0" applyProtection="0">
      <alignment vertical="top"/>
      <protection locked="0"/>
    </xf>
    <xf numFmtId="0" fontId="15" fillId="4"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6" fillId="8"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6" fillId="7" borderId="0" applyNumberFormat="0" applyBorder="0" applyAlignment="0" applyProtection="0"/>
    <xf numFmtId="0" fontId="15" fillId="4" borderId="0" applyNumberFormat="0" applyBorder="0" applyAlignment="0" applyProtection="0"/>
    <xf numFmtId="0" fontId="15" fillId="7" borderId="0" applyNumberFormat="0" applyBorder="0" applyAlignment="0" applyProtection="0"/>
    <xf numFmtId="0" fontId="16" fillId="7" borderId="0" applyNumberFormat="0" applyBorder="0" applyAlignment="0" applyProtection="0"/>
    <xf numFmtId="0" fontId="15" fillId="10"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1" fontId="17" fillId="12" borderId="0">
      <alignment horizontal="center" vertical="center" wrapText="1"/>
    </xf>
    <xf numFmtId="4" fontId="17" fillId="13" borderId="7">
      <alignment vertical="center"/>
      <protection locked="0"/>
    </xf>
    <xf numFmtId="0" fontId="17" fillId="14" borderId="0">
      <alignment horizontal="right"/>
    </xf>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49" fontId="17" fillId="18" borderId="0">
      <alignment vertical="top" wrapText="1"/>
    </xf>
    <xf numFmtId="38" fontId="17" fillId="13" borderId="0">
      <alignment horizontal="right" vertical="center" wrapText="1"/>
    </xf>
    <xf numFmtId="0" fontId="19" fillId="0" borderId="0" applyNumberFormat="0" applyFill="0" applyBorder="0" applyAlignment="0" applyProtection="0">
      <alignment vertical="top"/>
      <protection locked="0"/>
    </xf>
    <xf numFmtId="0" fontId="20" fillId="19" borderId="8">
      <alignment wrapText="1"/>
    </xf>
    <xf numFmtId="0" fontId="15" fillId="0" borderId="0"/>
    <xf numFmtId="0" fontId="20" fillId="0" borderId="0"/>
    <xf numFmtId="9" fontId="15"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3" fontId="17" fillId="0" borderId="0">
      <alignment horizontal="right" vertical="center" wrapText="1"/>
      <protection locked="0"/>
    </xf>
    <xf numFmtId="0" fontId="22" fillId="0" borderId="0"/>
    <xf numFmtId="0" fontId="15" fillId="0" borderId="0"/>
    <xf numFmtId="0" fontId="37" fillId="0" borderId="0"/>
    <xf numFmtId="9" fontId="32" fillId="0" borderId="0" applyFont="0" applyFill="0" applyBorder="0" applyAlignment="0" applyProtection="0"/>
    <xf numFmtId="0" fontId="32" fillId="0" borderId="0"/>
    <xf numFmtId="0" fontId="37" fillId="0" borderId="0"/>
    <xf numFmtId="165" fontId="32" fillId="0" borderId="0" applyFont="0" applyFill="0" applyBorder="0" applyAlignment="0" applyProtection="0"/>
    <xf numFmtId="0" fontId="3" fillId="0" borderId="0"/>
    <xf numFmtId="43" fontId="20" fillId="0" borderId="0" applyFont="0" applyFill="0" applyBorder="0" applyAlignment="0" applyProtection="0"/>
    <xf numFmtId="0" fontId="77" fillId="0" borderId="0"/>
    <xf numFmtId="165" fontId="20" fillId="0" borderId="0" applyFont="0" applyFill="0" applyBorder="0" applyAlignment="0" applyProtection="0"/>
    <xf numFmtId="0" fontId="79" fillId="0" borderId="0"/>
    <xf numFmtId="9" fontId="2" fillId="0" borderId="0" applyFont="0" applyFill="0" applyBorder="0" applyAlignment="0" applyProtection="0"/>
    <xf numFmtId="9" fontId="1" fillId="0" borderId="0" applyFont="0" applyFill="0" applyBorder="0" applyAlignment="0" applyProtection="0"/>
    <xf numFmtId="0" fontId="88" fillId="0" borderId="0"/>
    <xf numFmtId="0" fontId="108" fillId="0" borderId="0"/>
    <xf numFmtId="0" fontId="88" fillId="0" borderId="0"/>
    <xf numFmtId="164" fontId="131" fillId="0" borderId="0" applyFont="0" applyFill="0" applyBorder="0" applyAlignment="0" applyProtection="0"/>
  </cellStyleXfs>
  <cellXfs count="3666">
    <xf numFmtId="0" fontId="0" fillId="0" borderId="0" xfId="0"/>
    <xf numFmtId="0" fontId="4" fillId="0" borderId="0" xfId="0" applyFont="1" applyAlignment="1">
      <alignment vertical="center"/>
    </xf>
    <xf numFmtId="0" fontId="4" fillId="0" borderId="0" xfId="0" applyFont="1"/>
    <xf numFmtId="0" fontId="6" fillId="0" borderId="0" xfId="0" applyFont="1"/>
    <xf numFmtId="0" fontId="10" fillId="0" borderId="0" xfId="2" quotePrefix="1" applyFont="1" applyAlignment="1" applyProtection="1"/>
    <xf numFmtId="0" fontId="4" fillId="0" borderId="0" xfId="0" applyNumberFormat="1" applyFont="1"/>
    <xf numFmtId="49" fontId="13" fillId="0" borderId="0" xfId="0" applyNumberFormat="1" applyFont="1" applyBorder="1" applyAlignment="1">
      <alignment horizontal="left" vertical="center"/>
    </xf>
    <xf numFmtId="0" fontId="4" fillId="0" borderId="0" xfId="0" applyFont="1" applyBorder="1" applyAlignment="1">
      <alignment vertical="center"/>
    </xf>
    <xf numFmtId="0" fontId="13" fillId="0" borderId="0" xfId="0" applyFont="1"/>
    <xf numFmtId="49" fontId="13" fillId="0" borderId="0" xfId="0" applyNumberFormat="1" applyFont="1" applyBorder="1" applyAlignment="1">
      <alignment vertical="center"/>
    </xf>
    <xf numFmtId="0" fontId="13" fillId="0" borderId="0" xfId="0" applyFont="1" applyBorder="1" applyAlignment="1">
      <alignment vertical="center"/>
    </xf>
    <xf numFmtId="49" fontId="4" fillId="0" borderId="0" xfId="0" applyNumberFormat="1" applyFont="1" applyAlignment="1">
      <alignment horizontal="center"/>
    </xf>
    <xf numFmtId="49" fontId="27" fillId="3" borderId="15" xfId="0" applyNumberFormat="1" applyFont="1" applyFill="1" applyBorder="1" applyAlignment="1" applyProtection="1">
      <alignment horizontal="left" vertical="center"/>
      <protection locked="0"/>
    </xf>
    <xf numFmtId="0" fontId="4" fillId="0" borderId="0" xfId="0" applyNumberFormat="1" applyFont="1" applyAlignment="1"/>
    <xf numFmtId="49" fontId="4" fillId="0" borderId="0" xfId="0" applyNumberFormat="1" applyFont="1" applyAlignment="1">
      <alignment horizontal="right"/>
    </xf>
    <xf numFmtId="0" fontId="29" fillId="0" borderId="0" xfId="0" applyNumberFormat="1" applyFont="1" applyAlignment="1">
      <alignment horizontal="center"/>
    </xf>
    <xf numFmtId="49" fontId="13" fillId="0" borderId="0" xfId="0" applyNumberFormat="1" applyFont="1" applyAlignment="1">
      <alignment horizontal="right"/>
    </xf>
    <xf numFmtId="49" fontId="27" fillId="3" borderId="18" xfId="0" applyNumberFormat="1" applyFont="1" applyFill="1" applyBorder="1" applyAlignment="1" applyProtection="1">
      <alignment horizontal="left" vertical="center"/>
      <protection locked="0"/>
    </xf>
    <xf numFmtId="0" fontId="33" fillId="0" borderId="0" xfId="0" applyNumberFormat="1" applyFont="1" applyAlignment="1">
      <alignment horizontal="right"/>
    </xf>
    <xf numFmtId="0" fontId="34" fillId="0" borderId="0" xfId="0" applyNumberFormat="1" applyFont="1" applyAlignment="1"/>
    <xf numFmtId="14" fontId="33" fillId="0" borderId="0" xfId="0" applyNumberFormat="1" applyFont="1" applyAlignment="1">
      <alignment horizontal="left" vertical="center" indent="1"/>
    </xf>
    <xf numFmtId="0" fontId="13" fillId="0" borderId="0" xfId="0" applyFont="1" applyAlignment="1"/>
    <xf numFmtId="49" fontId="34" fillId="0" borderId="0" xfId="0" applyNumberFormat="1" applyFont="1" applyAlignment="1">
      <alignment horizontal="right"/>
    </xf>
    <xf numFmtId="0" fontId="34" fillId="0" borderId="0" xfId="0" applyFont="1"/>
    <xf numFmtId="49" fontId="33" fillId="0" borderId="0" xfId="0" applyNumberFormat="1" applyFont="1" applyAlignment="1">
      <alignment horizontal="right"/>
    </xf>
    <xf numFmtId="0" fontId="8" fillId="0" borderId="0" xfId="32" applyFont="1"/>
    <xf numFmtId="0" fontId="4" fillId="0" borderId="0" xfId="32" applyFont="1"/>
    <xf numFmtId="0" fontId="33" fillId="0" borderId="0" xfId="32" applyFont="1" applyAlignment="1">
      <alignment horizontal="center"/>
    </xf>
    <xf numFmtId="0" fontId="34" fillId="0" borderId="0" xfId="32" applyFont="1"/>
    <xf numFmtId="0" fontId="35" fillId="0" borderId="0" xfId="31" applyFont="1" applyFill="1" applyBorder="1"/>
    <xf numFmtId="0" fontId="33" fillId="0" borderId="0" xfId="0" applyFont="1" applyBorder="1"/>
    <xf numFmtId="0" fontId="33" fillId="0" borderId="0" xfId="0" applyFont="1"/>
    <xf numFmtId="3" fontId="33" fillId="0" borderId="0" xfId="0" applyNumberFormat="1" applyFont="1"/>
    <xf numFmtId="0" fontId="4" fillId="0" borderId="0" xfId="31" applyFont="1"/>
    <xf numFmtId="0" fontId="4" fillId="0" borderId="0" xfId="31" applyFont="1" applyBorder="1" applyAlignment="1">
      <alignment horizontal="center"/>
    </xf>
    <xf numFmtId="0" fontId="12" fillId="0" borderId="0" xfId="31" applyFont="1" applyBorder="1"/>
    <xf numFmtId="0" fontId="42" fillId="0" borderId="0" xfId="31" applyFont="1" applyBorder="1"/>
    <xf numFmtId="0" fontId="4" fillId="0" borderId="0" xfId="31" applyFont="1" applyBorder="1"/>
    <xf numFmtId="0" fontId="36" fillId="0" borderId="0" xfId="31" applyFont="1" applyAlignment="1">
      <alignment horizontal="right"/>
    </xf>
    <xf numFmtId="0" fontId="33" fillId="0" borderId="0" xfId="31" applyFont="1" applyAlignment="1">
      <alignment horizontal="center" vertical="center"/>
    </xf>
    <xf numFmtId="0" fontId="34" fillId="0" borderId="0" xfId="31" applyFont="1"/>
    <xf numFmtId="0" fontId="9" fillId="0" borderId="0" xfId="2" quotePrefix="1" applyAlignment="1" applyProtection="1"/>
    <xf numFmtId="0" fontId="10" fillId="0" borderId="0" xfId="2" applyFont="1" applyAlignment="1" applyProtection="1"/>
    <xf numFmtId="14" fontId="13" fillId="0" borderId="0" xfId="0" applyNumberFormat="1" applyFont="1" applyAlignment="1">
      <alignment horizontal="left" vertical="center" indent="1"/>
    </xf>
    <xf numFmtId="0" fontId="13" fillId="0" borderId="0" xfId="0" applyFont="1" applyFill="1"/>
    <xf numFmtId="0" fontId="13" fillId="0" borderId="0" xfId="0" applyNumberFormat="1" applyFont="1" applyAlignment="1">
      <alignment horizontal="right"/>
    </xf>
    <xf numFmtId="0" fontId="13" fillId="0" borderId="0" xfId="0" applyNumberFormat="1" applyFont="1" applyAlignment="1"/>
    <xf numFmtId="0" fontId="36" fillId="0" borderId="0" xfId="31" applyFont="1" applyFill="1" applyBorder="1"/>
    <xf numFmtId="0" fontId="4" fillId="0" borderId="17" xfId="0" applyFont="1" applyFill="1" applyBorder="1" applyAlignment="1">
      <alignment horizontal="left" vertical="center"/>
    </xf>
    <xf numFmtId="0" fontId="4" fillId="0" borderId="0" xfId="0" applyFont="1" applyFill="1"/>
    <xf numFmtId="0" fontId="5" fillId="0" borderId="0" xfId="0" applyFont="1" applyBorder="1" applyAlignment="1">
      <alignment horizontal="center" vertical="center"/>
    </xf>
    <xf numFmtId="0" fontId="5" fillId="0" borderId="0" xfId="0" applyFont="1" applyBorder="1" applyAlignment="1">
      <alignment horizontal="right" vertical="center"/>
    </xf>
    <xf numFmtId="0" fontId="4" fillId="0" borderId="0" xfId="0" applyNumberFormat="1" applyFont="1" applyFill="1" applyBorder="1" applyAlignment="1"/>
    <xf numFmtId="0" fontId="45" fillId="0" borderId="0" xfId="0" applyFont="1"/>
    <xf numFmtId="0" fontId="47" fillId="0" borderId="0" xfId="0" applyFont="1"/>
    <xf numFmtId="0" fontId="5" fillId="0" borderId="0" xfId="0" applyFont="1" applyFill="1" applyBorder="1" applyAlignment="1">
      <alignment horizontal="center" vertical="center"/>
    </xf>
    <xf numFmtId="0" fontId="8" fillId="0" borderId="0" xfId="0" applyFont="1" applyBorder="1"/>
    <xf numFmtId="0" fontId="4" fillId="0" borderId="0" xfId="0" applyFont="1" applyFill="1" applyBorder="1"/>
    <xf numFmtId="0" fontId="27" fillId="0" borderId="20" xfId="0" applyFont="1" applyBorder="1"/>
    <xf numFmtId="0" fontId="0" fillId="0" borderId="20" xfId="0" applyBorder="1"/>
    <xf numFmtId="0" fontId="33" fillId="0" borderId="0" xfId="0" applyFont="1" applyFill="1" applyBorder="1" applyAlignment="1">
      <alignment horizontal="center" vertical="center"/>
    </xf>
    <xf numFmtId="0" fontId="34" fillId="0" borderId="0" xfId="0" applyFont="1" applyFill="1" applyBorder="1" applyAlignment="1">
      <alignment horizontal="right" wrapText="1"/>
    </xf>
    <xf numFmtId="0" fontId="34" fillId="0" borderId="29" xfId="0" applyFont="1" applyBorder="1" applyAlignment="1">
      <alignment horizontal="center" vertical="center"/>
    </xf>
    <xf numFmtId="0" fontId="34" fillId="0" borderId="24" xfId="0" applyFont="1" applyBorder="1" applyAlignment="1">
      <alignment horizontal="center" vertical="center"/>
    </xf>
    <xf numFmtId="0" fontId="34" fillId="0" borderId="0" xfId="0" applyFont="1" applyFill="1" applyBorder="1"/>
    <xf numFmtId="0" fontId="33" fillId="0" borderId="25" xfId="0" applyFont="1" applyBorder="1" applyAlignment="1">
      <alignment horizontal="center" vertical="center"/>
    </xf>
    <xf numFmtId="0" fontId="34" fillId="0" borderId="30" xfId="0" applyFont="1" applyBorder="1" applyAlignment="1">
      <alignment horizontal="center" vertical="center"/>
    </xf>
    <xf numFmtId="2" fontId="34" fillId="0" borderId="0" xfId="0" applyNumberFormat="1" applyFont="1" applyFill="1" applyBorder="1"/>
    <xf numFmtId="0" fontId="33" fillId="26" borderId="30" xfId="0" applyFont="1" applyFill="1" applyBorder="1" applyAlignment="1">
      <alignment horizontal="center" vertical="center"/>
    </xf>
    <xf numFmtId="0" fontId="50" fillId="0" borderId="0" xfId="0" applyFont="1"/>
    <xf numFmtId="0" fontId="38" fillId="0" borderId="0" xfId="0" applyFont="1" applyAlignment="1" applyProtection="1">
      <alignment vertical="center"/>
    </xf>
    <xf numFmtId="0" fontId="51" fillId="0" borderId="0" xfId="0" applyFont="1"/>
    <xf numFmtId="0" fontId="52" fillId="0" borderId="0" xfId="40" quotePrefix="1" applyFont="1" applyBorder="1" applyAlignment="1" applyProtection="1">
      <alignment horizontal="center" vertical="center" wrapText="1"/>
    </xf>
    <xf numFmtId="0" fontId="54" fillId="0" borderId="0" xfId="0" applyFont="1" applyFill="1" applyBorder="1" applyAlignment="1">
      <alignment horizontal="right"/>
    </xf>
    <xf numFmtId="0" fontId="52" fillId="21" borderId="0" xfId="0" applyFont="1" applyFill="1" applyBorder="1" applyAlignment="1">
      <alignment horizontal="center" vertical="center" wrapText="1"/>
    </xf>
    <xf numFmtId="3" fontId="4" fillId="0" borderId="0" xfId="0" applyNumberFormat="1" applyFont="1" applyFill="1" applyBorder="1"/>
    <xf numFmtId="0" fontId="45" fillId="0" borderId="0" xfId="0" applyFont="1" applyFill="1" applyBorder="1" applyAlignment="1">
      <alignment horizontal="left"/>
    </xf>
    <xf numFmtId="49" fontId="4" fillId="0" borderId="52" xfId="0" applyNumberFormat="1" applyFont="1" applyBorder="1" applyAlignment="1" applyProtection="1">
      <alignment horizontal="center" vertical="center" wrapText="1"/>
    </xf>
    <xf numFmtId="0" fontId="38" fillId="0" borderId="0" xfId="43" applyFont="1" applyBorder="1" applyAlignment="1" applyProtection="1">
      <alignment horizontal="left" vertical="center"/>
    </xf>
    <xf numFmtId="0" fontId="45" fillId="0" borderId="0" xfId="0" applyFont="1" applyAlignment="1" applyProtection="1">
      <alignment vertical="center"/>
    </xf>
    <xf numFmtId="0" fontId="45" fillId="21" borderId="0" xfId="0" applyFont="1" applyFill="1" applyAlignment="1" applyProtection="1">
      <alignment vertical="center"/>
    </xf>
    <xf numFmtId="0" fontId="27" fillId="0" borderId="0" xfId="0" applyFont="1" applyProtection="1"/>
    <xf numFmtId="0" fontId="27" fillId="0" borderId="0" xfId="0" applyFont="1" applyBorder="1" applyProtection="1"/>
    <xf numFmtId="49" fontId="13" fillId="0" borderId="52" xfId="0" applyNumberFormat="1" applyFont="1" applyBorder="1" applyAlignment="1" applyProtection="1">
      <alignment horizontal="center" vertical="center"/>
    </xf>
    <xf numFmtId="0" fontId="4" fillId="0" borderId="7" xfId="0" applyFont="1" applyFill="1" applyBorder="1" applyAlignment="1" applyProtection="1">
      <alignment horizontal="center" vertical="center"/>
    </xf>
    <xf numFmtId="0" fontId="4" fillId="0" borderId="7" xfId="0" applyFont="1" applyFill="1" applyBorder="1" applyAlignment="1" applyProtection="1">
      <alignment vertical="center" wrapText="1"/>
    </xf>
    <xf numFmtId="0" fontId="13" fillId="0" borderId="7" xfId="0" applyFont="1" applyFill="1" applyBorder="1" applyAlignment="1" applyProtection="1">
      <alignment horizontal="left" vertical="center" wrapText="1"/>
    </xf>
    <xf numFmtId="49" fontId="4" fillId="0" borderId="52" xfId="0" applyNumberFormat="1" applyFont="1" applyBorder="1" applyAlignment="1" applyProtection="1">
      <alignment horizontal="center" vertical="center"/>
    </xf>
    <xf numFmtId="0" fontId="4" fillId="0" borderId="7" xfId="0" applyFont="1" applyFill="1" applyBorder="1" applyAlignment="1" applyProtection="1">
      <alignment horizontal="left" vertical="center" wrapText="1"/>
    </xf>
    <xf numFmtId="0" fontId="37" fillId="0" borderId="0" xfId="0" applyFont="1"/>
    <xf numFmtId="0" fontId="13" fillId="22" borderId="9" xfId="0" applyFont="1" applyFill="1" applyBorder="1" applyAlignment="1" applyProtection="1">
      <alignment horizontal="center" vertical="center"/>
    </xf>
    <xf numFmtId="0" fontId="45" fillId="0" borderId="0" xfId="0" applyFont="1" applyProtection="1"/>
    <xf numFmtId="0" fontId="0" fillId="0" borderId="0" xfId="0" applyNumberFormat="1"/>
    <xf numFmtId="0" fontId="38" fillId="21" borderId="0" xfId="40" applyFont="1" applyFill="1" applyAlignment="1" applyProtection="1">
      <alignment vertical="center"/>
    </xf>
    <xf numFmtId="0" fontId="38" fillId="0" borderId="0" xfId="40" applyFont="1" applyAlignment="1" applyProtection="1">
      <alignment vertical="center"/>
    </xf>
    <xf numFmtId="0" fontId="38" fillId="0" borderId="0" xfId="40" applyFont="1" applyBorder="1" applyProtection="1"/>
    <xf numFmtId="0" fontId="20" fillId="0" borderId="0" xfId="0" applyFont="1"/>
    <xf numFmtId="0" fontId="52" fillId="0" borderId="0" xfId="40" applyFont="1" applyAlignment="1" applyProtection="1">
      <alignment vertical="center"/>
    </xf>
    <xf numFmtId="0" fontId="56" fillId="0" borderId="0" xfId="40" applyFont="1" applyAlignment="1" applyProtection="1">
      <alignment vertical="center"/>
    </xf>
    <xf numFmtId="0" fontId="57" fillId="0" borderId="0" xfId="40" applyFont="1" applyAlignment="1" applyProtection="1">
      <alignment vertical="center"/>
    </xf>
    <xf numFmtId="0" fontId="59" fillId="0" borderId="0" xfId="0" applyFont="1" applyAlignment="1">
      <alignment vertical="center"/>
    </xf>
    <xf numFmtId="2" fontId="45" fillId="0" borderId="0" xfId="0" applyNumberFormat="1" applyFont="1" applyAlignment="1">
      <alignment horizontal="center"/>
    </xf>
    <xf numFmtId="0" fontId="34" fillId="0" borderId="0" xfId="0" applyFont="1" applyAlignment="1">
      <alignment horizontal="right"/>
    </xf>
    <xf numFmtId="2" fontId="45" fillId="0" borderId="0" xfId="0" applyNumberFormat="1" applyFont="1" applyBorder="1" applyAlignment="1">
      <alignment horizontal="center"/>
    </xf>
    <xf numFmtId="2" fontId="11" fillId="0" borderId="0" xfId="0" applyNumberFormat="1" applyFont="1"/>
    <xf numFmtId="0" fontId="45" fillId="0" borderId="0" xfId="0" applyFont="1" applyAlignment="1">
      <alignment horizontal="center"/>
    </xf>
    <xf numFmtId="2" fontId="45" fillId="0" borderId="0" xfId="0" applyNumberFormat="1" applyFont="1" applyFill="1" applyBorder="1"/>
    <xf numFmtId="2" fontId="45" fillId="0" borderId="0" xfId="0" applyNumberFormat="1" applyFont="1" applyFill="1"/>
    <xf numFmtId="0" fontId="60" fillId="0" borderId="0" xfId="0" applyFont="1" applyAlignment="1">
      <alignment vertical="center"/>
    </xf>
    <xf numFmtId="0" fontId="62" fillId="0" borderId="0" xfId="0" applyFont="1"/>
    <xf numFmtId="3" fontId="4" fillId="0" borderId="7" xfId="0" applyNumberFormat="1" applyFont="1" applyBorder="1" applyAlignment="1" applyProtection="1">
      <alignment vertical="center"/>
    </xf>
    <xf numFmtId="3" fontId="13" fillId="0" borderId="7" xfId="0" applyNumberFormat="1" applyFont="1" applyFill="1" applyBorder="1" applyAlignment="1" applyProtection="1">
      <alignment vertical="center"/>
    </xf>
    <xf numFmtId="3" fontId="4" fillId="0" borderId="7" xfId="0" applyNumberFormat="1" applyFont="1" applyFill="1" applyBorder="1" applyAlignment="1" applyProtection="1">
      <alignment vertical="center"/>
    </xf>
    <xf numFmtId="0" fontId="11" fillId="22" borderId="9" xfId="0" applyFont="1" applyFill="1" applyBorder="1" applyAlignment="1" applyProtection="1">
      <alignment horizontal="center" vertical="center"/>
    </xf>
    <xf numFmtId="3" fontId="13" fillId="22" borderId="9" xfId="0" applyNumberFormat="1" applyFont="1" applyFill="1" applyBorder="1" applyAlignment="1" applyProtection="1">
      <alignment vertical="center"/>
    </xf>
    <xf numFmtId="3" fontId="4" fillId="0" borderId="62" xfId="0" applyNumberFormat="1" applyFont="1" applyFill="1" applyBorder="1" applyAlignment="1" applyProtection="1">
      <alignment vertical="center"/>
    </xf>
    <xf numFmtId="0" fontId="33" fillId="2" borderId="40" xfId="0" applyFont="1" applyFill="1" applyBorder="1" applyAlignment="1">
      <alignment horizontal="center" vertical="center"/>
    </xf>
    <xf numFmtId="0" fontId="34" fillId="0" borderId="0" xfId="0" applyFont="1" applyFill="1"/>
    <xf numFmtId="0" fontId="5" fillId="0" borderId="0" xfId="0" applyFont="1" applyAlignment="1">
      <alignment horizontal="right"/>
    </xf>
    <xf numFmtId="0" fontId="11" fillId="0" borderId="0" xfId="0" applyFont="1" applyBorder="1" applyAlignment="1">
      <alignment horizontal="center" vertical="center"/>
    </xf>
    <xf numFmtId="0" fontId="4" fillId="0" borderId="51" xfId="0" applyFont="1" applyFill="1" applyBorder="1" applyAlignment="1">
      <alignment horizontal="left" vertical="center"/>
    </xf>
    <xf numFmtId="0" fontId="31" fillId="0" borderId="17" xfId="0" applyFont="1" applyFill="1" applyBorder="1" applyAlignment="1">
      <alignment vertical="center" wrapText="1"/>
    </xf>
    <xf numFmtId="0" fontId="31" fillId="0" borderId="21" xfId="0" applyFont="1" applyFill="1" applyBorder="1" applyAlignment="1">
      <alignment vertical="center" wrapText="1"/>
    </xf>
    <xf numFmtId="0" fontId="63" fillId="0" borderId="0" xfId="2" quotePrefix="1" applyFont="1" applyAlignment="1" applyProtection="1"/>
    <xf numFmtId="0" fontId="4" fillId="0" borderId="15" xfId="0" applyFont="1" applyFill="1" applyBorder="1" applyAlignment="1">
      <alignment vertical="center" wrapText="1"/>
    </xf>
    <xf numFmtId="3" fontId="13" fillId="0" borderId="17" xfId="0" applyNumberFormat="1" applyFont="1" applyFill="1" applyBorder="1" applyAlignment="1">
      <alignment horizontal="center" vertical="center"/>
    </xf>
    <xf numFmtId="0" fontId="4" fillId="0" borderId="0" xfId="31" applyFont="1" applyFill="1"/>
    <xf numFmtId="0" fontId="0" fillId="0" borderId="0" xfId="0" applyFill="1"/>
    <xf numFmtId="0" fontId="5" fillId="0" borderId="0" xfId="0" applyFont="1" applyAlignment="1">
      <alignment horizontal="right"/>
    </xf>
    <xf numFmtId="172" fontId="52" fillId="0" borderId="0" xfId="40" applyNumberFormat="1" applyFont="1" applyAlignment="1" applyProtection="1">
      <alignment vertical="center"/>
    </xf>
    <xf numFmtId="0" fontId="33" fillId="26" borderId="1" xfId="0" applyFont="1" applyFill="1" applyBorder="1" applyAlignment="1">
      <alignment horizontal="center" vertical="center"/>
    </xf>
    <xf numFmtId="2" fontId="34" fillId="2" borderId="35" xfId="0" applyNumberFormat="1" applyFont="1" applyFill="1" applyBorder="1"/>
    <xf numFmtId="0" fontId="11" fillId="0" borderId="0" xfId="0" applyNumberFormat="1" applyFont="1" applyAlignment="1">
      <alignment horizontal="center" vertical="center"/>
    </xf>
    <xf numFmtId="0" fontId="20" fillId="30" borderId="0" xfId="32" applyFill="1"/>
    <xf numFmtId="49" fontId="66" fillId="0" borderId="0" xfId="32" applyNumberFormat="1" applyFont="1" applyBorder="1" applyAlignment="1">
      <alignment vertical="center"/>
    </xf>
    <xf numFmtId="0" fontId="67" fillId="0" borderId="0" xfId="32" applyFont="1"/>
    <xf numFmtId="0" fontId="66" fillId="0" borderId="0" xfId="32" applyNumberFormat="1" applyFont="1" applyBorder="1" applyAlignment="1">
      <alignment vertical="center"/>
    </xf>
    <xf numFmtId="49" fontId="66" fillId="0" borderId="5" xfId="32" applyNumberFormat="1" applyFont="1" applyBorder="1" applyAlignment="1">
      <alignment horizontal="left" vertical="center"/>
    </xf>
    <xf numFmtId="49" fontId="67" fillId="0" borderId="17" xfId="32" applyNumberFormat="1" applyFont="1" applyBorder="1" applyAlignment="1">
      <alignment horizontal="left" vertical="center"/>
    </xf>
    <xf numFmtId="49" fontId="66" fillId="0" borderId="17" xfId="32" applyNumberFormat="1" applyFont="1" applyBorder="1" applyAlignment="1">
      <alignment horizontal="left" vertical="center"/>
    </xf>
    <xf numFmtId="49" fontId="66" fillId="21" borderId="24" xfId="32" applyNumberFormat="1" applyFont="1" applyFill="1" applyBorder="1" applyAlignment="1" applyProtection="1">
      <alignment horizontal="left" vertical="center"/>
    </xf>
    <xf numFmtId="49" fontId="66" fillId="21" borderId="17" xfId="32" applyNumberFormat="1" applyFont="1" applyFill="1" applyBorder="1" applyAlignment="1" applyProtection="1">
      <alignment horizontal="left" vertical="center"/>
    </xf>
    <xf numFmtId="49" fontId="66" fillId="21" borderId="39" xfId="32" applyNumberFormat="1" applyFont="1" applyFill="1" applyBorder="1" applyAlignment="1" applyProtection="1">
      <alignment horizontal="center" vertical="center"/>
    </xf>
    <xf numFmtId="0" fontId="69" fillId="0" borderId="23" xfId="32" applyNumberFormat="1" applyFont="1" applyFill="1" applyBorder="1" applyAlignment="1" applyProtection="1">
      <alignment horizontal="left" vertical="center"/>
      <protection locked="0"/>
    </xf>
    <xf numFmtId="0" fontId="69" fillId="0" borderId="15" xfId="32" applyNumberFormat="1" applyFont="1" applyFill="1" applyBorder="1" applyAlignment="1" applyProtection="1">
      <alignment horizontal="left" vertical="center"/>
      <protection locked="0"/>
    </xf>
    <xf numFmtId="14" fontId="66" fillId="0" borderId="0" xfId="32" applyNumberFormat="1" applyFont="1"/>
    <xf numFmtId="0" fontId="66" fillId="0" borderId="0" xfId="32" applyFont="1" applyAlignment="1">
      <alignment horizontal="right"/>
    </xf>
    <xf numFmtId="0" fontId="67" fillId="0" borderId="0" xfId="32" applyFont="1" applyAlignment="1"/>
    <xf numFmtId="0" fontId="67" fillId="0" borderId="0" xfId="32" applyNumberFormat="1" applyFont="1" applyAlignment="1"/>
    <xf numFmtId="49" fontId="67" fillId="0" borderId="0" xfId="32" applyNumberFormat="1" applyFont="1" applyAlignment="1">
      <alignment horizontal="right"/>
    </xf>
    <xf numFmtId="0" fontId="69" fillId="0" borderId="0" xfId="32" applyNumberFormat="1" applyFont="1" applyAlignment="1">
      <alignment horizontal="center"/>
    </xf>
    <xf numFmtId="0" fontId="67" fillId="0" borderId="0" xfId="32" applyNumberFormat="1" applyFont="1"/>
    <xf numFmtId="0" fontId="69" fillId="0" borderId="0" xfId="32" applyFont="1"/>
    <xf numFmtId="0" fontId="67" fillId="0" borderId="0" xfId="32" applyNumberFormat="1" applyFont="1" applyAlignment="1">
      <alignment horizontal="left"/>
    </xf>
    <xf numFmtId="49" fontId="67" fillId="0" borderId="0" xfId="32" applyNumberFormat="1" applyFont="1" applyAlignment="1"/>
    <xf numFmtId="0" fontId="69" fillId="0" borderId="0" xfId="32" applyNumberFormat="1" applyFont="1" applyAlignment="1"/>
    <xf numFmtId="0" fontId="7" fillId="0" borderId="0" xfId="0" applyFont="1" applyBorder="1" applyAlignment="1">
      <alignment wrapText="1"/>
    </xf>
    <xf numFmtId="0" fontId="11" fillId="0" borderId="20" xfId="42" applyNumberFormat="1" applyFont="1" applyBorder="1" applyAlignment="1">
      <alignment horizontal="center"/>
    </xf>
    <xf numFmtId="0" fontId="12" fillId="0" borderId="0" xfId="0" applyFont="1" applyFill="1" applyBorder="1" applyAlignment="1"/>
    <xf numFmtId="0" fontId="0" fillId="29" borderId="0" xfId="0" applyFill="1"/>
    <xf numFmtId="0" fontId="45" fillId="29" borderId="0" xfId="0" applyFont="1" applyFill="1" applyAlignment="1">
      <alignment vertical="center"/>
    </xf>
    <xf numFmtId="49" fontId="66" fillId="21" borderId="26" xfId="32" applyNumberFormat="1" applyFont="1" applyFill="1" applyBorder="1" applyAlignment="1" applyProtection="1">
      <alignment horizontal="left" vertical="center"/>
    </xf>
    <xf numFmtId="0" fontId="34" fillId="29" borderId="0" xfId="0" applyFont="1" applyFill="1" applyBorder="1"/>
    <xf numFmtId="14" fontId="33" fillId="29" borderId="0" xfId="0" applyNumberFormat="1" applyFont="1" applyFill="1" applyBorder="1" applyAlignment="1"/>
    <xf numFmtId="0" fontId="34" fillId="29" borderId="0" xfId="0" applyNumberFormat="1" applyFont="1" applyFill="1" applyBorder="1" applyAlignment="1"/>
    <xf numFmtId="0" fontId="33" fillId="29" borderId="0" xfId="0" applyNumberFormat="1" applyFont="1" applyFill="1" applyBorder="1" applyAlignment="1">
      <alignment horizontal="right"/>
    </xf>
    <xf numFmtId="49" fontId="34" fillId="29" borderId="0" xfId="0" applyNumberFormat="1" applyFont="1" applyFill="1" applyBorder="1" applyAlignment="1">
      <alignment horizontal="right"/>
    </xf>
    <xf numFmtId="0" fontId="34" fillId="29" borderId="0" xfId="0" applyNumberFormat="1" applyFont="1" applyFill="1" applyBorder="1"/>
    <xf numFmtId="0" fontId="35" fillId="29" borderId="0" xfId="0" applyNumberFormat="1" applyFont="1" applyFill="1" applyBorder="1" applyAlignment="1">
      <alignment horizontal="center"/>
    </xf>
    <xf numFmtId="49" fontId="33" fillId="29" borderId="0" xfId="0" applyNumberFormat="1" applyFont="1" applyFill="1" applyBorder="1" applyAlignment="1">
      <alignment horizontal="right"/>
    </xf>
    <xf numFmtId="0" fontId="38" fillId="0" borderId="0" xfId="32" applyFont="1" applyAlignment="1" applyProtection="1">
      <alignment vertical="center"/>
    </xf>
    <xf numFmtId="0" fontId="38" fillId="21" borderId="0" xfId="32" applyFont="1" applyFill="1" applyAlignment="1" applyProtection="1">
      <alignment vertical="center"/>
    </xf>
    <xf numFmtId="0" fontId="4" fillId="30" borderId="0" xfId="32" applyFont="1" applyFill="1"/>
    <xf numFmtId="0" fontId="13" fillId="30" borderId="0" xfId="32" applyFont="1" applyFill="1" applyBorder="1" applyAlignment="1">
      <alignment horizontal="center" wrapText="1"/>
    </xf>
    <xf numFmtId="49" fontId="4" fillId="30" borderId="0" xfId="32" applyNumberFormat="1" applyFont="1" applyFill="1" applyBorder="1" applyAlignment="1" applyProtection="1">
      <alignment horizontal="center" vertical="center"/>
      <protection locked="0"/>
    </xf>
    <xf numFmtId="3" fontId="4" fillId="30" borderId="0" xfId="32" applyNumberFormat="1" applyFont="1" applyFill="1" applyBorder="1" applyAlignment="1" applyProtection="1">
      <alignment horizontal="center" vertical="center"/>
      <protection locked="0"/>
    </xf>
    <xf numFmtId="0" fontId="36" fillId="30" borderId="0" xfId="31" applyFont="1" applyFill="1" applyBorder="1"/>
    <xf numFmtId="0" fontId="34" fillId="30" borderId="0" xfId="32" applyFont="1" applyFill="1"/>
    <xf numFmtId="0" fontId="4" fillId="30" borderId="0" xfId="32" applyFont="1" applyFill="1" applyAlignment="1">
      <alignment horizontal="center"/>
    </xf>
    <xf numFmtId="0" fontId="36" fillId="30" borderId="0" xfId="32" applyFont="1" applyFill="1" applyAlignment="1">
      <alignment horizontal="left" vertical="center" wrapText="1"/>
    </xf>
    <xf numFmtId="0" fontId="8" fillId="30" borderId="0" xfId="32" applyFont="1" applyFill="1"/>
    <xf numFmtId="0" fontId="4" fillId="30" borderId="0" xfId="32" applyFont="1" applyFill="1" applyAlignment="1">
      <alignment wrapText="1"/>
    </xf>
    <xf numFmtId="3" fontId="4" fillId="30" borderId="0" xfId="32" applyNumberFormat="1" applyFont="1" applyFill="1" applyAlignment="1">
      <alignment horizontal="center"/>
    </xf>
    <xf numFmtId="0" fontId="20" fillId="30" borderId="0" xfId="32" applyFont="1" applyFill="1"/>
    <xf numFmtId="0" fontId="65" fillId="30" borderId="0" xfId="32" applyFont="1" applyFill="1"/>
    <xf numFmtId="0" fontId="47" fillId="30" borderId="0" xfId="32" applyFont="1" applyFill="1"/>
    <xf numFmtId="0" fontId="48" fillId="30" borderId="0" xfId="2" quotePrefix="1" applyFont="1" applyFill="1" applyAlignment="1" applyProtection="1"/>
    <xf numFmtId="0" fontId="48" fillId="30" borderId="0" xfId="2" applyFont="1" applyFill="1" applyAlignment="1" applyProtection="1"/>
    <xf numFmtId="0" fontId="28" fillId="30" borderId="0" xfId="40" applyFont="1" applyFill="1" applyAlignment="1" applyProtection="1">
      <alignment vertical="center"/>
    </xf>
    <xf numFmtId="0" fontId="28" fillId="30" borderId="0" xfId="40" applyFont="1" applyFill="1" applyAlignment="1" applyProtection="1">
      <alignment horizontal="center" vertical="center"/>
    </xf>
    <xf numFmtId="0" fontId="13" fillId="30" borderId="0" xfId="32" applyFont="1" applyFill="1" applyAlignment="1">
      <alignment horizontal="center"/>
    </xf>
    <xf numFmtId="0" fontId="4" fillId="30" borderId="0" xfId="45" applyFont="1" applyFill="1"/>
    <xf numFmtId="49" fontId="4" fillId="30" borderId="0" xfId="45" applyNumberFormat="1" applyFont="1" applyFill="1" applyAlignment="1">
      <alignment horizontal="right"/>
    </xf>
    <xf numFmtId="0" fontId="4" fillId="30" borderId="0" xfId="45" applyNumberFormat="1" applyFont="1" applyFill="1" applyAlignment="1"/>
    <xf numFmtId="0" fontId="0" fillId="30" borderId="0" xfId="0" applyFill="1"/>
    <xf numFmtId="0" fontId="66" fillId="0" borderId="0" xfId="32" applyNumberFormat="1" applyFont="1" applyAlignment="1">
      <alignment horizontal="right"/>
    </xf>
    <xf numFmtId="0" fontId="41" fillId="0" borderId="0" xfId="0" applyFont="1" applyAlignment="1"/>
    <xf numFmtId="0" fontId="35" fillId="0" borderId="0" xfId="0" applyFont="1" applyAlignment="1"/>
    <xf numFmtId="0" fontId="36" fillId="0" borderId="0" xfId="0" applyFont="1" applyAlignment="1"/>
    <xf numFmtId="0" fontId="4" fillId="30" borderId="0" xfId="0" applyFont="1" applyFill="1"/>
    <xf numFmtId="0" fontId="5" fillId="30" borderId="0" xfId="0" applyFont="1" applyFill="1" applyAlignment="1">
      <alignment horizontal="right"/>
    </xf>
    <xf numFmtId="49" fontId="12" fillId="30" borderId="2" xfId="0" applyNumberFormat="1" applyFont="1" applyFill="1" applyBorder="1" applyAlignment="1">
      <alignment horizontal="left" vertical="center"/>
    </xf>
    <xf numFmtId="49" fontId="27" fillId="30" borderId="5" xfId="0" applyNumberFormat="1" applyFont="1" applyFill="1" applyBorder="1" applyAlignment="1">
      <alignment horizontal="left" vertical="center"/>
    </xf>
    <xf numFmtId="49" fontId="27" fillId="30" borderId="17" xfId="0" applyNumberFormat="1" applyFont="1" applyFill="1" applyBorder="1" applyAlignment="1">
      <alignment horizontal="left" vertical="center"/>
    </xf>
    <xf numFmtId="49" fontId="27" fillId="30" borderId="39" xfId="0" applyNumberFormat="1" applyFont="1" applyFill="1" applyBorder="1" applyAlignment="1">
      <alignment horizontal="left" vertical="center"/>
    </xf>
    <xf numFmtId="49" fontId="27" fillId="30" borderId="1" xfId="0" applyNumberFormat="1" applyFont="1" applyFill="1" applyBorder="1" applyAlignment="1">
      <alignment horizontal="left" vertical="center"/>
    </xf>
    <xf numFmtId="49" fontId="27" fillId="30" borderId="8" xfId="0" applyNumberFormat="1" applyFont="1" applyFill="1" applyBorder="1" applyAlignment="1">
      <alignment horizontal="left" vertical="center"/>
    </xf>
    <xf numFmtId="49" fontId="27" fillId="30" borderId="3" xfId="0" applyNumberFormat="1" applyFont="1" applyFill="1" applyBorder="1" applyAlignment="1">
      <alignment horizontal="left" vertical="center"/>
    </xf>
    <xf numFmtId="49" fontId="27" fillId="30" borderId="5" xfId="0" applyNumberFormat="1" applyFont="1" applyFill="1" applyBorder="1" applyAlignment="1" applyProtection="1">
      <alignment horizontal="left" vertical="center"/>
    </xf>
    <xf numFmtId="49" fontId="27" fillId="30" borderId="17" xfId="0" applyNumberFormat="1" applyFont="1" applyFill="1" applyBorder="1" applyAlignment="1" applyProtection="1">
      <alignment horizontal="left" vertical="center"/>
    </xf>
    <xf numFmtId="49" fontId="27" fillId="30" borderId="21" xfId="0" applyNumberFormat="1" applyFont="1" applyFill="1" applyBorder="1" applyAlignment="1">
      <alignment horizontal="left" vertical="center"/>
    </xf>
    <xf numFmtId="0" fontId="33" fillId="30" borderId="0" xfId="0" applyNumberFormat="1" applyFont="1" applyFill="1" applyAlignment="1">
      <alignment horizontal="right"/>
    </xf>
    <xf numFmtId="0" fontId="34" fillId="30" borderId="0" xfId="0" applyNumberFormat="1" applyFont="1" applyFill="1" applyAlignment="1"/>
    <xf numFmtId="0" fontId="4" fillId="30" borderId="0" xfId="0" applyFont="1" applyFill="1" applyAlignment="1"/>
    <xf numFmtId="14" fontId="33" fillId="30" borderId="0" xfId="0" applyNumberFormat="1" applyFont="1" applyFill="1" applyAlignment="1">
      <alignment horizontal="left" vertical="center" indent="1"/>
    </xf>
    <xf numFmtId="0" fontId="13" fillId="30" borderId="0" xfId="0" applyFont="1" applyFill="1" applyAlignment="1"/>
    <xf numFmtId="49" fontId="34" fillId="30" borderId="0" xfId="0" applyNumberFormat="1" applyFont="1" applyFill="1" applyAlignment="1">
      <alignment horizontal="right"/>
    </xf>
    <xf numFmtId="0" fontId="4" fillId="30" borderId="0" xfId="0" applyNumberFormat="1" applyFont="1" applyFill="1"/>
    <xf numFmtId="0" fontId="35" fillId="30" borderId="0" xfId="0" applyNumberFormat="1" applyFont="1" applyFill="1" applyAlignment="1">
      <alignment horizontal="center"/>
    </xf>
    <xf numFmtId="0" fontId="4" fillId="30" borderId="0" xfId="0" applyNumberFormat="1" applyFont="1" applyFill="1" applyAlignment="1"/>
    <xf numFmtId="49" fontId="4" fillId="30" borderId="0" xfId="0" applyNumberFormat="1" applyFont="1" applyFill="1" applyAlignment="1">
      <alignment horizontal="right"/>
    </xf>
    <xf numFmtId="0" fontId="34" fillId="30" borderId="0" xfId="0" applyFont="1" applyFill="1"/>
    <xf numFmtId="0" fontId="4" fillId="30" borderId="0" xfId="0" applyNumberFormat="1" applyFont="1" applyFill="1" applyAlignment="1">
      <alignment horizontal="left"/>
    </xf>
    <xf numFmtId="49" fontId="4" fillId="30" borderId="0" xfId="0" applyNumberFormat="1" applyFont="1" applyFill="1" applyAlignment="1"/>
    <xf numFmtId="0" fontId="36" fillId="30" borderId="0" xfId="0" applyNumberFormat="1" applyFont="1" applyFill="1" applyAlignment="1"/>
    <xf numFmtId="0" fontId="67" fillId="30" borderId="0" xfId="32" applyFont="1" applyFill="1"/>
    <xf numFmtId="0" fontId="67" fillId="30" borderId="0" xfId="32" applyNumberFormat="1" applyFont="1" applyFill="1" applyAlignment="1"/>
    <xf numFmtId="49" fontId="67" fillId="30" borderId="0" xfId="32" applyNumberFormat="1" applyFont="1" applyFill="1" applyAlignment="1"/>
    <xf numFmtId="0" fontId="69" fillId="30" borderId="0" xfId="32" applyNumberFormat="1" applyFont="1" applyFill="1" applyAlignment="1"/>
    <xf numFmtId="0" fontId="36" fillId="30" borderId="0" xfId="0" applyFont="1" applyFill="1" applyAlignment="1"/>
    <xf numFmtId="0" fontId="41" fillId="30" borderId="0" xfId="0" applyFont="1" applyFill="1" applyAlignment="1"/>
    <xf numFmtId="0" fontId="35" fillId="30" borderId="0" xfId="31" applyFont="1" applyFill="1" applyBorder="1"/>
    <xf numFmtId="0" fontId="8" fillId="0" borderId="0" xfId="0" applyFont="1" applyFill="1"/>
    <xf numFmtId="0" fontId="61" fillId="0" borderId="0" xfId="0" applyFont="1"/>
    <xf numFmtId="14" fontId="61" fillId="0" borderId="0" xfId="0" applyNumberFormat="1" applyFont="1"/>
    <xf numFmtId="0" fontId="33" fillId="30" borderId="0" xfId="0" applyFont="1" applyFill="1" applyBorder="1"/>
    <xf numFmtId="0" fontId="33" fillId="30" borderId="0" xfId="0" applyFont="1" applyFill="1"/>
    <xf numFmtId="3" fontId="33" fillId="30" borderId="0" xfId="0" applyNumberFormat="1" applyFont="1" applyFill="1"/>
    <xf numFmtId="0" fontId="4" fillId="30" borderId="0" xfId="32" applyFont="1" applyFill="1" applyBorder="1" applyAlignment="1">
      <alignment wrapText="1"/>
    </xf>
    <xf numFmtId="0" fontId="10" fillId="0" borderId="0" xfId="2" quotePrefix="1" applyFont="1" applyFill="1" applyAlignment="1" applyProtection="1"/>
    <xf numFmtId="0" fontId="6" fillId="0" borderId="0" xfId="0" applyFont="1" applyFill="1"/>
    <xf numFmtId="0" fontId="5" fillId="30" borderId="0" xfId="32" applyFont="1" applyFill="1" applyBorder="1" applyAlignment="1">
      <alignment horizontal="right" vertical="center"/>
    </xf>
    <xf numFmtId="3" fontId="33" fillId="34" borderId="65" xfId="49" applyNumberFormat="1" applyFont="1" applyFill="1" applyBorder="1" applyAlignment="1">
      <alignment horizontal="center" wrapText="1"/>
    </xf>
    <xf numFmtId="3" fontId="33" fillId="34" borderId="9" xfId="49" applyNumberFormat="1" applyFont="1" applyFill="1" applyBorder="1" applyAlignment="1">
      <alignment horizontal="center" wrapText="1"/>
    </xf>
    <xf numFmtId="3" fontId="33" fillId="34" borderId="10" xfId="49" applyNumberFormat="1" applyFont="1" applyFill="1" applyBorder="1" applyAlignment="1">
      <alignment horizontal="center" wrapText="1"/>
    </xf>
    <xf numFmtId="0" fontId="13" fillId="35" borderId="1" xfId="49" applyFont="1" applyFill="1" applyBorder="1" applyAlignment="1">
      <alignment horizontal="center" vertical="center"/>
    </xf>
    <xf numFmtId="49" fontId="33" fillId="26" borderId="1" xfId="49" applyNumberFormat="1" applyFont="1" applyFill="1" applyBorder="1" applyAlignment="1">
      <alignment vertical="center"/>
    </xf>
    <xf numFmtId="0" fontId="33" fillId="26" borderId="1" xfId="49" applyFont="1" applyFill="1" applyBorder="1" applyAlignment="1">
      <alignment horizontal="left" vertical="center"/>
    </xf>
    <xf numFmtId="49" fontId="11" fillId="26" borderId="1" xfId="49" applyNumberFormat="1" applyFont="1" applyFill="1" applyBorder="1" applyAlignment="1">
      <alignment vertical="center"/>
    </xf>
    <xf numFmtId="3" fontId="13" fillId="34" borderId="38" xfId="49" applyNumberFormat="1" applyFont="1" applyFill="1" applyBorder="1" applyAlignment="1">
      <alignment horizontal="center" wrapText="1"/>
    </xf>
    <xf numFmtId="3" fontId="13" fillId="34" borderId="9" xfId="49" applyNumberFormat="1" applyFont="1" applyFill="1" applyBorder="1" applyAlignment="1">
      <alignment horizontal="center" wrapText="1"/>
    </xf>
    <xf numFmtId="3" fontId="13" fillId="34" borderId="10" xfId="49" applyNumberFormat="1" applyFont="1" applyFill="1" applyBorder="1" applyAlignment="1">
      <alignment horizontal="center" wrapText="1"/>
    </xf>
    <xf numFmtId="3" fontId="13" fillId="34" borderId="65" xfId="49" applyNumberFormat="1" applyFont="1" applyFill="1" applyBorder="1" applyAlignment="1">
      <alignment horizontal="center" wrapText="1"/>
    </xf>
    <xf numFmtId="3" fontId="4" fillId="36" borderId="52" xfId="49" applyNumberFormat="1" applyFont="1" applyFill="1" applyBorder="1" applyAlignment="1">
      <alignment horizontal="center" vertical="center"/>
    </xf>
    <xf numFmtId="3" fontId="4" fillId="36" borderId="7" xfId="49" applyNumberFormat="1" applyFont="1" applyFill="1" applyBorder="1" applyAlignment="1">
      <alignment horizontal="center" vertical="center"/>
    </xf>
    <xf numFmtId="3" fontId="4" fillId="36" borderId="53" xfId="49" applyNumberFormat="1" applyFont="1" applyFill="1" applyBorder="1" applyAlignment="1">
      <alignment horizontal="center" vertical="center"/>
    </xf>
    <xf numFmtId="3" fontId="4" fillId="36" borderId="32" xfId="49" applyNumberFormat="1" applyFont="1" applyFill="1" applyBorder="1" applyAlignment="1">
      <alignment horizontal="center" vertical="center"/>
    </xf>
    <xf numFmtId="3" fontId="13" fillId="21" borderId="7" xfId="49" applyNumberFormat="1" applyFont="1" applyFill="1" applyBorder="1" applyAlignment="1">
      <alignment horizontal="center" vertical="center"/>
    </xf>
    <xf numFmtId="0" fontId="11" fillId="26" borderId="1" xfId="49" applyFont="1" applyFill="1" applyBorder="1" applyAlignment="1">
      <alignment horizontal="left" vertical="center"/>
    </xf>
    <xf numFmtId="0" fontId="4" fillId="30" borderId="0" xfId="49" applyFont="1" applyFill="1"/>
    <xf numFmtId="0" fontId="79" fillId="30" borderId="0" xfId="49" applyFill="1"/>
    <xf numFmtId="0" fontId="13" fillId="30" borderId="0" xfId="49" applyFont="1" applyFill="1"/>
    <xf numFmtId="0" fontId="65" fillId="30" borderId="0" xfId="49" applyFont="1" applyFill="1"/>
    <xf numFmtId="0" fontId="4" fillId="30" borderId="5" xfId="49" applyFont="1" applyFill="1" applyBorder="1" applyAlignment="1">
      <alignment horizontal="center" vertical="center"/>
    </xf>
    <xf numFmtId="9" fontId="4" fillId="30" borderId="5" xfId="49" applyNumberFormat="1" applyFont="1" applyFill="1" applyBorder="1" applyAlignment="1">
      <alignment horizontal="center" vertical="center"/>
    </xf>
    <xf numFmtId="0" fontId="34" fillId="30" borderId="5" xfId="49" applyFont="1" applyFill="1" applyBorder="1" applyAlignment="1">
      <alignment wrapText="1"/>
    </xf>
    <xf numFmtId="0" fontId="4" fillId="30" borderId="17" xfId="49" applyFont="1" applyFill="1" applyBorder="1" applyAlignment="1">
      <alignment horizontal="center" vertical="center"/>
    </xf>
    <xf numFmtId="9" fontId="4" fillId="30" borderId="17" xfId="49" applyNumberFormat="1" applyFont="1" applyFill="1" applyBorder="1" applyAlignment="1">
      <alignment horizontal="center" vertical="center"/>
    </xf>
    <xf numFmtId="0" fontId="34" fillId="30" borderId="17" xfId="49" applyFont="1" applyFill="1" applyBorder="1" applyAlignment="1">
      <alignment wrapText="1"/>
    </xf>
    <xf numFmtId="3" fontId="4" fillId="30" borderId="52" xfId="49" applyNumberFormat="1" applyFont="1" applyFill="1" applyBorder="1" applyAlignment="1">
      <alignment horizontal="center" vertical="center" wrapText="1"/>
    </xf>
    <xf numFmtId="3" fontId="4" fillId="30" borderId="7" xfId="49" applyNumberFormat="1" applyFont="1" applyFill="1" applyBorder="1" applyAlignment="1">
      <alignment horizontal="center" vertical="center" wrapText="1"/>
    </xf>
    <xf numFmtId="3" fontId="4" fillId="30" borderId="53" xfId="49" applyNumberFormat="1" applyFont="1" applyFill="1" applyBorder="1" applyAlignment="1">
      <alignment horizontal="center" vertical="center" wrapText="1"/>
    </xf>
    <xf numFmtId="49" fontId="34" fillId="30" borderId="17" xfId="49" applyNumberFormat="1" applyFont="1" applyFill="1" applyBorder="1" applyAlignment="1">
      <alignment wrapText="1"/>
    </xf>
    <xf numFmtId="49" fontId="35" fillId="30" borderId="17" xfId="49" applyNumberFormat="1" applyFont="1" applyFill="1" applyBorder="1" applyAlignment="1">
      <alignment horizontal="right" wrapText="1"/>
    </xf>
    <xf numFmtId="9" fontId="4" fillId="30" borderId="17" xfId="50" applyFont="1" applyFill="1" applyBorder="1" applyAlignment="1">
      <alignment horizontal="center" vertical="center"/>
    </xf>
    <xf numFmtId="0" fontId="4" fillId="30" borderId="24" xfId="49" applyFont="1" applyFill="1" applyBorder="1" applyAlignment="1">
      <alignment horizontal="center" vertical="center"/>
    </xf>
    <xf numFmtId="49" fontId="34" fillId="30" borderId="17" xfId="49" applyNumberFormat="1" applyFont="1" applyFill="1" applyBorder="1" applyAlignment="1">
      <alignment horizontal="left" wrapText="1"/>
    </xf>
    <xf numFmtId="49" fontId="34" fillId="30" borderId="39" xfId="49" applyNumberFormat="1" applyFont="1" applyFill="1" applyBorder="1" applyAlignment="1">
      <alignment wrapText="1"/>
    </xf>
    <xf numFmtId="0" fontId="34" fillId="30" borderId="17" xfId="49" applyFont="1" applyFill="1" applyBorder="1" applyAlignment="1">
      <alignment horizontal="center" vertical="center"/>
    </xf>
    <xf numFmtId="0" fontId="34" fillId="30" borderId="5" xfId="49" applyFont="1" applyFill="1" applyBorder="1" applyAlignment="1">
      <alignment horizontal="center" vertical="center"/>
    </xf>
    <xf numFmtId="0" fontId="34" fillId="30" borderId="17" xfId="49" applyFont="1" applyFill="1" applyBorder="1" applyAlignment="1">
      <alignment vertical="center" wrapText="1"/>
    </xf>
    <xf numFmtId="9" fontId="34" fillId="30" borderId="17" xfId="49" applyNumberFormat="1" applyFont="1" applyFill="1" applyBorder="1" applyAlignment="1">
      <alignment horizontal="left" vertical="center"/>
    </xf>
    <xf numFmtId="9" fontId="34" fillId="30" borderId="17" xfId="50" applyFont="1" applyFill="1" applyBorder="1" applyAlignment="1">
      <alignment horizontal="center" vertical="center"/>
    </xf>
    <xf numFmtId="9" fontId="34" fillId="30" borderId="17" xfId="49" applyNumberFormat="1" applyFont="1" applyFill="1" applyBorder="1" applyAlignment="1">
      <alignment horizontal="center" vertical="center"/>
    </xf>
    <xf numFmtId="9" fontId="4" fillId="30" borderId="17" xfId="49" applyNumberFormat="1" applyFont="1" applyFill="1" applyBorder="1" applyAlignment="1">
      <alignment horizontal="left" vertical="center"/>
    </xf>
    <xf numFmtId="49" fontId="4" fillId="30" borderId="0" xfId="49" applyNumberFormat="1" applyFont="1" applyFill="1" applyBorder="1" applyAlignment="1" applyProtection="1">
      <alignment horizontal="left" vertical="center" wrapText="1"/>
    </xf>
    <xf numFmtId="49" fontId="4" fillId="30" borderId="0" xfId="49" applyNumberFormat="1" applyFont="1" applyFill="1" applyBorder="1" applyAlignment="1">
      <alignment vertical="center" wrapText="1"/>
    </xf>
    <xf numFmtId="14" fontId="13" fillId="30" borderId="0" xfId="49" applyNumberFormat="1" applyFont="1" applyFill="1" applyAlignment="1">
      <alignment vertical="center"/>
    </xf>
    <xf numFmtId="0" fontId="4" fillId="30" borderId="0" xfId="0" applyFont="1" applyFill="1" applyAlignment="1">
      <alignment vertical="center"/>
    </xf>
    <xf numFmtId="0" fontId="13" fillId="30" borderId="0" xfId="0" applyNumberFormat="1" applyFont="1" applyFill="1" applyAlignment="1">
      <alignment horizontal="right"/>
    </xf>
    <xf numFmtId="0" fontId="4" fillId="30" borderId="0" xfId="31" applyFont="1" applyFill="1"/>
    <xf numFmtId="0" fontId="29" fillId="30" borderId="0" xfId="0" applyNumberFormat="1" applyFont="1" applyFill="1" applyAlignment="1">
      <alignment horizontal="center"/>
    </xf>
    <xf numFmtId="0" fontId="13" fillId="30" borderId="0" xfId="0" applyNumberFormat="1" applyFont="1" applyFill="1" applyAlignment="1"/>
    <xf numFmtId="49" fontId="13" fillId="30" borderId="0" xfId="0" applyNumberFormat="1" applyFont="1" applyFill="1" applyAlignment="1">
      <alignment horizontal="right"/>
    </xf>
    <xf numFmtId="0" fontId="20" fillId="30" borderId="0" xfId="49" applyFont="1" applyFill="1"/>
    <xf numFmtId="3" fontId="4" fillId="30" borderId="0" xfId="49" applyNumberFormat="1" applyFont="1" applyFill="1" applyAlignment="1">
      <alignment horizontal="center"/>
    </xf>
    <xf numFmtId="2" fontId="4" fillId="30" borderId="0" xfId="49" applyNumberFormat="1" applyFont="1" applyFill="1"/>
    <xf numFmtId="167" fontId="47" fillId="30" borderId="0" xfId="49" applyNumberFormat="1" applyFont="1" applyFill="1"/>
    <xf numFmtId="0" fontId="47" fillId="30" borderId="0" xfId="49" applyFont="1" applyFill="1"/>
    <xf numFmtId="3" fontId="47" fillId="30" borderId="0" xfId="49" applyNumberFormat="1" applyFont="1" applyFill="1"/>
    <xf numFmtId="0" fontId="13" fillId="30" borderId="5" xfId="49" applyFont="1" applyFill="1" applyBorder="1" applyAlignment="1">
      <alignment horizontal="center" vertical="center"/>
    </xf>
    <xf numFmtId="9" fontId="13" fillId="30" borderId="5" xfId="49" applyNumberFormat="1" applyFont="1" applyFill="1" applyBorder="1" applyAlignment="1">
      <alignment horizontal="center" vertical="center"/>
    </xf>
    <xf numFmtId="0" fontId="13" fillId="30" borderId="5" xfId="49" applyFont="1" applyFill="1" applyBorder="1" applyAlignment="1">
      <alignment wrapText="1"/>
    </xf>
    <xf numFmtId="3" fontId="13" fillId="30" borderId="75" xfId="49" applyNumberFormat="1" applyFont="1" applyFill="1" applyBorder="1" applyAlignment="1">
      <alignment horizontal="center" vertical="center" wrapText="1"/>
    </xf>
    <xf numFmtId="3" fontId="13" fillId="30" borderId="73" xfId="49" applyNumberFormat="1" applyFont="1" applyFill="1" applyBorder="1" applyAlignment="1">
      <alignment horizontal="center" vertical="center" wrapText="1"/>
    </xf>
    <xf numFmtId="3" fontId="13" fillId="30" borderId="76" xfId="49" applyNumberFormat="1" applyFont="1" applyFill="1" applyBorder="1" applyAlignment="1">
      <alignment horizontal="center" vertical="center" wrapText="1"/>
    </xf>
    <xf numFmtId="3" fontId="65" fillId="30" borderId="0" xfId="49" applyNumberFormat="1" applyFont="1" applyFill="1"/>
    <xf numFmtId="3" fontId="20" fillId="30" borderId="0" xfId="49" applyNumberFormat="1" applyFont="1" applyFill="1"/>
    <xf numFmtId="0" fontId="13" fillId="30" borderId="17" xfId="49" applyFont="1" applyFill="1" applyBorder="1" applyAlignment="1">
      <alignment horizontal="center" vertical="center"/>
    </xf>
    <xf numFmtId="9" fontId="13" fillId="30" borderId="17" xfId="49" applyNumberFormat="1" applyFont="1" applyFill="1" applyBorder="1" applyAlignment="1">
      <alignment horizontal="center" vertical="center"/>
    </xf>
    <xf numFmtId="0" fontId="13" fillId="30" borderId="17" xfId="49" applyFont="1" applyFill="1" applyBorder="1" applyAlignment="1">
      <alignment wrapText="1"/>
    </xf>
    <xf numFmtId="3" fontId="13" fillId="30" borderId="52" xfId="49" applyNumberFormat="1" applyFont="1" applyFill="1" applyBorder="1" applyAlignment="1">
      <alignment horizontal="center" vertical="center"/>
    </xf>
    <xf numFmtId="3" fontId="13" fillId="30" borderId="7" xfId="49" applyNumberFormat="1" applyFont="1" applyFill="1" applyBorder="1" applyAlignment="1">
      <alignment horizontal="center" vertical="center"/>
    </xf>
    <xf numFmtId="3" fontId="13" fillId="30" borderId="53" xfId="49" applyNumberFormat="1" applyFont="1" applyFill="1" applyBorder="1" applyAlignment="1">
      <alignment horizontal="center" vertical="center"/>
    </xf>
    <xf numFmtId="3" fontId="13" fillId="30" borderId="32" xfId="49" applyNumberFormat="1" applyFont="1" applyFill="1" applyBorder="1" applyAlignment="1">
      <alignment horizontal="center" vertical="center"/>
    </xf>
    <xf numFmtId="0" fontId="13" fillId="30" borderId="17" xfId="49" applyFont="1" applyFill="1" applyBorder="1" applyAlignment="1">
      <alignment horizontal="center"/>
    </xf>
    <xf numFmtId="49" fontId="13" fillId="30" borderId="17" xfId="49" applyNumberFormat="1" applyFont="1" applyFill="1" applyBorder="1" applyAlignment="1">
      <alignment wrapText="1"/>
    </xf>
    <xf numFmtId="0" fontId="65" fillId="30" borderId="0" xfId="49" applyFont="1" applyFill="1" applyAlignment="1">
      <alignment vertical="center"/>
    </xf>
    <xf numFmtId="49" fontId="4" fillId="30" borderId="17" xfId="49" applyNumberFormat="1" applyFont="1" applyFill="1" applyBorder="1" applyAlignment="1">
      <alignment horizontal="left" wrapText="1"/>
    </xf>
    <xf numFmtId="0" fontId="36" fillId="30" borderId="17" xfId="49" applyFont="1" applyFill="1" applyBorder="1" applyAlignment="1">
      <alignment horizontal="center" vertical="center"/>
    </xf>
    <xf numFmtId="9" fontId="36" fillId="30" borderId="17" xfId="50" applyFont="1" applyFill="1" applyBorder="1" applyAlignment="1">
      <alignment horizontal="center" vertical="center"/>
    </xf>
    <xf numFmtId="49" fontId="36" fillId="30" borderId="17" xfId="49" applyNumberFormat="1" applyFont="1" applyFill="1" applyBorder="1" applyAlignment="1">
      <alignment horizontal="right" wrapText="1"/>
    </xf>
    <xf numFmtId="0" fontId="4" fillId="30" borderId="17" xfId="49" applyFont="1" applyFill="1" applyBorder="1" applyAlignment="1">
      <alignment vertical="center" wrapText="1"/>
    </xf>
    <xf numFmtId="0" fontId="13" fillId="30" borderId="24" xfId="49" applyFont="1" applyFill="1" applyBorder="1" applyAlignment="1">
      <alignment horizontal="center" vertical="center"/>
    </xf>
    <xf numFmtId="3" fontId="13" fillId="30" borderId="52" xfId="49" applyNumberFormat="1" applyFont="1" applyFill="1" applyBorder="1" applyAlignment="1">
      <alignment horizontal="center" vertical="center" wrapText="1"/>
    </xf>
    <xf numFmtId="3" fontId="13" fillId="30" borderId="7" xfId="49" applyNumberFormat="1" applyFont="1" applyFill="1" applyBorder="1" applyAlignment="1">
      <alignment horizontal="center" vertical="center" wrapText="1"/>
    </xf>
    <xf numFmtId="3" fontId="13" fillId="30" borderId="53" xfId="49" applyNumberFormat="1" applyFont="1" applyFill="1" applyBorder="1" applyAlignment="1">
      <alignment horizontal="center" vertical="center" wrapText="1"/>
    </xf>
    <xf numFmtId="3" fontId="13" fillId="30" borderId="32" xfId="49" applyNumberFormat="1" applyFont="1" applyFill="1" applyBorder="1" applyAlignment="1">
      <alignment horizontal="center" vertical="center" wrapText="1"/>
    </xf>
    <xf numFmtId="0" fontId="13" fillId="30" borderId="36" xfId="49" applyFont="1" applyFill="1" applyBorder="1" applyAlignment="1">
      <alignment horizontal="center" vertical="center"/>
    </xf>
    <xf numFmtId="3" fontId="13" fillId="30" borderId="56" xfId="49" applyNumberFormat="1" applyFont="1" applyFill="1" applyBorder="1" applyAlignment="1">
      <alignment horizontal="center" vertical="center" wrapText="1"/>
    </xf>
    <xf numFmtId="3" fontId="13" fillId="30" borderId="77" xfId="49" applyNumberFormat="1" applyFont="1" applyFill="1" applyBorder="1" applyAlignment="1">
      <alignment horizontal="center" vertical="center" wrapText="1"/>
    </xf>
    <xf numFmtId="3" fontId="13" fillId="30" borderId="57" xfId="49" applyNumberFormat="1" applyFont="1" applyFill="1" applyBorder="1" applyAlignment="1">
      <alignment horizontal="center" vertical="center" wrapText="1"/>
    </xf>
    <xf numFmtId="3" fontId="13" fillId="30" borderId="79" xfId="49" applyNumberFormat="1" applyFont="1" applyFill="1" applyBorder="1" applyAlignment="1">
      <alignment horizontal="center" vertical="center" wrapText="1"/>
    </xf>
    <xf numFmtId="3" fontId="4" fillId="30" borderId="62" xfId="49" applyNumberFormat="1" applyFont="1" applyFill="1" applyBorder="1" applyAlignment="1">
      <alignment horizontal="center" vertical="center" wrapText="1"/>
    </xf>
    <xf numFmtId="0" fontId="13" fillId="30" borderId="30" xfId="49" applyFont="1" applyFill="1" applyBorder="1" applyAlignment="1">
      <alignment horizontal="center" vertical="center"/>
    </xf>
    <xf numFmtId="9" fontId="13" fillId="30" borderId="30" xfId="49" applyNumberFormat="1" applyFont="1" applyFill="1" applyBorder="1" applyAlignment="1">
      <alignment horizontal="center" vertical="center"/>
    </xf>
    <xf numFmtId="49" fontId="13" fillId="30" borderId="21" xfId="49" applyNumberFormat="1" applyFont="1" applyFill="1" applyBorder="1" applyAlignment="1">
      <alignment wrapText="1"/>
    </xf>
    <xf numFmtId="49" fontId="13" fillId="30" borderId="0" xfId="49" applyNumberFormat="1" applyFont="1" applyFill="1" applyBorder="1" applyAlignment="1">
      <alignment vertical="center"/>
    </xf>
    <xf numFmtId="167" fontId="13" fillId="30" borderId="0" xfId="49" applyNumberFormat="1" applyFont="1" applyFill="1" applyBorder="1" applyAlignment="1">
      <alignment horizontal="right" vertical="center"/>
    </xf>
    <xf numFmtId="0" fontId="79" fillId="30" borderId="0" xfId="49" applyFont="1" applyFill="1"/>
    <xf numFmtId="167" fontId="13" fillId="34" borderId="1" xfId="49" applyNumberFormat="1" applyFont="1" applyFill="1" applyBorder="1" applyAlignment="1">
      <alignment horizontal="center" wrapText="1"/>
    </xf>
    <xf numFmtId="3" fontId="13" fillId="34" borderId="2" xfId="49" applyNumberFormat="1" applyFont="1" applyFill="1" applyBorder="1" applyAlignment="1">
      <alignment horizontal="center" wrapText="1"/>
    </xf>
    <xf numFmtId="3" fontId="13" fillId="30" borderId="17" xfId="49" applyNumberFormat="1" applyFont="1" applyFill="1" applyBorder="1" applyAlignment="1">
      <alignment horizontal="center" vertical="center"/>
    </xf>
    <xf numFmtId="167" fontId="13" fillId="30" borderId="24" xfId="49" applyNumberFormat="1" applyFont="1" applyFill="1" applyBorder="1" applyAlignment="1">
      <alignment horizontal="center" vertical="center"/>
    </xf>
    <xf numFmtId="167" fontId="4" fillId="36" borderId="24" xfId="49" applyNumberFormat="1" applyFont="1" applyFill="1" applyBorder="1" applyAlignment="1">
      <alignment horizontal="center" vertical="center"/>
    </xf>
    <xf numFmtId="3" fontId="4" fillId="36" borderId="17" xfId="49" applyNumberFormat="1" applyFont="1" applyFill="1" applyBorder="1" applyAlignment="1">
      <alignment horizontal="center" vertical="center"/>
    </xf>
    <xf numFmtId="3" fontId="13" fillId="21" borderId="17" xfId="49" applyNumberFormat="1" applyFont="1" applyFill="1" applyBorder="1" applyAlignment="1">
      <alignment horizontal="center" vertical="center"/>
    </xf>
    <xf numFmtId="0" fontId="5" fillId="30" borderId="0" xfId="49" applyFont="1" applyFill="1" applyBorder="1" applyAlignment="1">
      <alignment vertical="center"/>
    </xf>
    <xf numFmtId="0" fontId="5" fillId="30" borderId="0" xfId="49" applyFont="1" applyFill="1" applyBorder="1" applyAlignment="1">
      <alignment horizontal="right" vertical="center"/>
    </xf>
    <xf numFmtId="14" fontId="61" fillId="30" borderId="0" xfId="49" applyNumberFormat="1" applyFont="1" applyFill="1"/>
    <xf numFmtId="0" fontId="61" fillId="30" borderId="0" xfId="0" applyFont="1" applyFill="1" applyAlignment="1">
      <alignment vertical="center"/>
    </xf>
    <xf numFmtId="0" fontId="28" fillId="21" borderId="0" xfId="49" applyFont="1" applyFill="1"/>
    <xf numFmtId="0" fontId="45" fillId="30" borderId="0" xfId="49" applyFont="1" applyFill="1"/>
    <xf numFmtId="0" fontId="45" fillId="30" borderId="0" xfId="49" applyFont="1" applyFill="1" applyAlignment="1">
      <alignment horizontal="center"/>
    </xf>
    <xf numFmtId="0" fontId="45" fillId="30" borderId="0" xfId="49" applyFont="1" applyFill="1" applyAlignment="1">
      <alignment horizontal="left"/>
    </xf>
    <xf numFmtId="0" fontId="11" fillId="30" borderId="0" xfId="49" applyFont="1" applyFill="1" applyBorder="1" applyAlignment="1">
      <alignment horizontal="center"/>
    </xf>
    <xf numFmtId="0" fontId="11" fillId="30" borderId="0" xfId="49" applyFont="1" applyFill="1" applyBorder="1" applyAlignment="1" applyProtection="1">
      <alignment wrapText="1"/>
    </xf>
    <xf numFmtId="0" fontId="11" fillId="30" borderId="0" xfId="49" applyFont="1" applyFill="1" applyBorder="1" applyAlignment="1" applyProtection="1">
      <alignment horizontal="center" wrapText="1"/>
    </xf>
    <xf numFmtId="0" fontId="28" fillId="30" borderId="0" xfId="49" applyFont="1" applyFill="1"/>
    <xf numFmtId="0" fontId="72" fillId="30" borderId="0" xfId="49" applyFont="1" applyFill="1"/>
    <xf numFmtId="0" fontId="30" fillId="30" borderId="0" xfId="49" applyFont="1" applyFill="1"/>
    <xf numFmtId="0" fontId="45" fillId="30" borderId="0" xfId="49" applyFont="1" applyFill="1" applyAlignment="1" applyProtection="1">
      <alignment wrapText="1"/>
    </xf>
    <xf numFmtId="0" fontId="28" fillId="30" borderId="0" xfId="49" applyFont="1" applyFill="1" applyAlignment="1" applyProtection="1">
      <alignment wrapText="1"/>
    </xf>
    <xf numFmtId="0" fontId="11" fillId="30" borderId="0" xfId="49" applyFont="1" applyFill="1" applyAlignment="1" applyProtection="1">
      <alignment wrapText="1"/>
    </xf>
    <xf numFmtId="0" fontId="45" fillId="30" borderId="0" xfId="49" applyFont="1" applyFill="1" applyBorder="1" applyAlignment="1" applyProtection="1">
      <alignment horizontal="left" wrapText="1"/>
    </xf>
    <xf numFmtId="0" fontId="45" fillId="30" borderId="0" xfId="49" applyFont="1" applyFill="1" applyAlignment="1" applyProtection="1">
      <alignment horizontal="center" wrapText="1"/>
    </xf>
    <xf numFmtId="0" fontId="11" fillId="30" borderId="0" xfId="49" applyFont="1" applyFill="1" applyAlignment="1">
      <alignment horizontal="center"/>
    </xf>
    <xf numFmtId="0" fontId="45" fillId="30" borderId="0" xfId="49" applyFont="1" applyFill="1" applyAlignment="1">
      <alignment vertical="center"/>
    </xf>
    <xf numFmtId="14" fontId="11" fillId="30" borderId="0" xfId="49" applyNumberFormat="1" applyFont="1" applyFill="1" applyAlignment="1">
      <alignment vertical="center"/>
    </xf>
    <xf numFmtId="0" fontId="45" fillId="30" borderId="0" xfId="49" applyFont="1" applyFill="1" applyAlignment="1">
      <alignment horizontal="center" vertical="center"/>
    </xf>
    <xf numFmtId="49" fontId="45" fillId="30" borderId="0" xfId="49" applyNumberFormat="1" applyFont="1" applyFill="1" applyAlignment="1">
      <alignment horizontal="center"/>
    </xf>
    <xf numFmtId="0" fontId="49" fillId="30" borderId="0" xfId="49" applyFont="1" applyFill="1"/>
    <xf numFmtId="0" fontId="28" fillId="30" borderId="0" xfId="49" applyFont="1" applyFill="1" applyAlignment="1">
      <alignment horizontal="left" indent="1"/>
    </xf>
    <xf numFmtId="0" fontId="45" fillId="30" borderId="0" xfId="49" applyFont="1" applyFill="1" applyBorder="1" applyAlignment="1" applyProtection="1">
      <alignment horizontal="center" wrapText="1"/>
    </xf>
    <xf numFmtId="0" fontId="45" fillId="30" borderId="0" xfId="49" applyFont="1" applyFill="1" applyAlignment="1" applyProtection="1">
      <alignment horizontal="left" wrapText="1"/>
    </xf>
    <xf numFmtId="0" fontId="46" fillId="30" borderId="0" xfId="49" applyFont="1" applyFill="1" applyBorder="1" applyAlignment="1">
      <alignment vertical="center"/>
    </xf>
    <xf numFmtId="0" fontId="46" fillId="30" borderId="0" xfId="49" applyFont="1" applyFill="1" applyBorder="1" applyAlignment="1">
      <alignment horizontal="right" vertical="center"/>
    </xf>
    <xf numFmtId="0" fontId="28" fillId="30" borderId="20" xfId="49" applyFont="1" applyFill="1" applyBorder="1" applyAlignment="1" applyProtection="1">
      <alignment wrapText="1"/>
    </xf>
    <xf numFmtId="0" fontId="81" fillId="30" borderId="0" xfId="2" quotePrefix="1" applyFont="1" applyFill="1" applyAlignment="1" applyProtection="1"/>
    <xf numFmtId="0" fontId="82" fillId="30" borderId="0" xfId="2" quotePrefix="1" applyFont="1" applyFill="1" applyAlignment="1" applyProtection="1"/>
    <xf numFmtId="0" fontId="81" fillId="30" borderId="0" xfId="2" applyFont="1" applyFill="1" applyAlignment="1" applyProtection="1"/>
    <xf numFmtId="0" fontId="11" fillId="30" borderId="0" xfId="49" applyFont="1" applyFill="1"/>
    <xf numFmtId="174" fontId="73" fillId="30" borderId="0" xfId="49" applyNumberFormat="1" applyFont="1" applyFill="1" applyAlignment="1">
      <alignment horizontal="center"/>
    </xf>
    <xf numFmtId="174" fontId="73" fillId="30" borderId="0" xfId="49" applyNumberFormat="1" applyFont="1" applyFill="1" applyAlignment="1" applyProtection="1">
      <alignment horizontal="center" wrapText="1"/>
    </xf>
    <xf numFmtId="174" fontId="73" fillId="30" borderId="0" xfId="49" applyNumberFormat="1" applyFont="1" applyFill="1" applyAlignment="1">
      <alignment horizontal="center" vertical="center"/>
    </xf>
    <xf numFmtId="174" fontId="73" fillId="30" borderId="0" xfId="49" applyNumberFormat="1" applyFont="1" applyFill="1" applyAlignment="1">
      <alignment vertical="center"/>
    </xf>
    <xf numFmtId="174" fontId="73" fillId="30" borderId="0" xfId="49" applyNumberFormat="1" applyFont="1" applyFill="1" applyBorder="1" applyAlignment="1" applyProtection="1">
      <alignment horizontal="center" wrapText="1"/>
    </xf>
    <xf numFmtId="0" fontId="8" fillId="0" borderId="0" xfId="0" applyFont="1" applyFill="1" applyBorder="1"/>
    <xf numFmtId="0" fontId="5" fillId="0" borderId="0" xfId="0" applyFont="1" applyBorder="1" applyAlignment="1">
      <alignment vertical="center"/>
    </xf>
    <xf numFmtId="3" fontId="20" fillId="30" borderId="0" xfId="32" applyNumberFormat="1" applyFill="1"/>
    <xf numFmtId="0" fontId="10" fillId="30" borderId="0" xfId="2" quotePrefix="1" applyFont="1" applyFill="1" applyAlignment="1" applyProtection="1"/>
    <xf numFmtId="0" fontId="6" fillId="30" borderId="0" xfId="0" applyFont="1" applyFill="1"/>
    <xf numFmtId="0" fontId="9" fillId="30" borderId="0" xfId="2" quotePrefix="1" applyFill="1" applyAlignment="1" applyProtection="1"/>
    <xf numFmtId="0" fontId="10" fillId="30" borderId="0" xfId="2" applyFont="1" applyFill="1" applyAlignment="1" applyProtection="1"/>
    <xf numFmtId="0" fontId="38" fillId="0" borderId="0" xfId="32" applyFont="1"/>
    <xf numFmtId="0" fontId="38" fillId="0" borderId="0" xfId="32" applyFont="1" applyBorder="1"/>
    <xf numFmtId="14" fontId="85" fillId="0" borderId="0" xfId="0" applyNumberFormat="1" applyFont="1" applyFill="1" applyBorder="1" applyAlignment="1">
      <alignment horizontal="left"/>
    </xf>
    <xf numFmtId="0" fontId="11" fillId="22" borderId="9" xfId="0" quotePrefix="1" applyFont="1" applyFill="1" applyBorder="1" applyAlignment="1" applyProtection="1">
      <alignment horizontal="center" vertical="center"/>
    </xf>
    <xf numFmtId="0" fontId="84" fillId="0" borderId="0" xfId="32" applyFont="1" applyBorder="1" applyAlignment="1">
      <alignment vertical="center"/>
    </xf>
    <xf numFmtId="0" fontId="84" fillId="0" borderId="0" xfId="32" applyFont="1" applyBorder="1" applyAlignment="1">
      <alignment horizontal="right" vertical="center"/>
    </xf>
    <xf numFmtId="3" fontId="13" fillId="22" borderId="3" xfId="0" applyNumberFormat="1" applyFont="1" applyFill="1" applyBorder="1" applyAlignment="1" applyProtection="1">
      <alignment vertical="center"/>
    </xf>
    <xf numFmtId="10" fontId="4" fillId="22" borderId="83" xfId="1" applyNumberFormat="1" applyFont="1" applyFill="1" applyBorder="1" applyAlignment="1">
      <alignment horizontal="right" vertical="center"/>
    </xf>
    <xf numFmtId="10" fontId="4" fillId="22" borderId="12" xfId="1" applyNumberFormat="1" applyFont="1" applyFill="1" applyBorder="1" applyAlignment="1">
      <alignment horizontal="right" vertical="center"/>
    </xf>
    <xf numFmtId="2" fontId="4" fillId="22" borderId="83" xfId="1" applyNumberFormat="1" applyFont="1" applyFill="1" applyBorder="1" applyAlignment="1">
      <alignment horizontal="right" vertical="center"/>
    </xf>
    <xf numFmtId="2" fontId="4" fillId="22" borderId="12" xfId="1" applyNumberFormat="1" applyFont="1" applyFill="1" applyBorder="1" applyAlignment="1">
      <alignment horizontal="right" vertical="center"/>
    </xf>
    <xf numFmtId="4" fontId="4" fillId="22" borderId="83" xfId="1" applyNumberFormat="1" applyFont="1" applyFill="1" applyBorder="1" applyAlignment="1">
      <alignment horizontal="right" vertical="center"/>
    </xf>
    <xf numFmtId="4" fontId="4" fillId="22" borderId="12" xfId="1" applyNumberFormat="1" applyFont="1" applyFill="1" applyBorder="1" applyAlignment="1">
      <alignment horizontal="right" vertical="center"/>
    </xf>
    <xf numFmtId="169" fontId="4" fillId="22" borderId="83" xfId="1" applyNumberFormat="1" applyFont="1" applyFill="1" applyBorder="1" applyAlignment="1">
      <alignment horizontal="right" vertical="center"/>
    </xf>
    <xf numFmtId="169" fontId="4" fillId="22" borderId="12" xfId="1" applyNumberFormat="1" applyFont="1" applyFill="1" applyBorder="1" applyAlignment="1">
      <alignment horizontal="right" vertical="center"/>
    </xf>
    <xf numFmtId="2" fontId="4" fillId="22" borderId="84" xfId="1" applyNumberFormat="1" applyFont="1" applyFill="1" applyBorder="1" applyAlignment="1">
      <alignment horizontal="right" vertical="center"/>
    </xf>
    <xf numFmtId="10" fontId="4" fillId="22" borderId="16" xfId="1" applyNumberFormat="1" applyFont="1" applyFill="1" applyBorder="1" applyAlignment="1">
      <alignment horizontal="right" vertical="center"/>
    </xf>
    <xf numFmtId="49" fontId="66" fillId="21" borderId="26" xfId="32" applyNumberFormat="1" applyFont="1" applyFill="1" applyBorder="1" applyAlignment="1" applyProtection="1">
      <alignment horizontal="left" vertical="center"/>
    </xf>
    <xf numFmtId="0" fontId="52" fillId="30" borderId="0" xfId="52" applyFont="1" applyFill="1" applyAlignment="1">
      <alignment vertical="center"/>
    </xf>
    <xf numFmtId="0" fontId="84" fillId="30" borderId="0" xfId="52" applyFont="1" applyFill="1" applyAlignment="1"/>
    <xf numFmtId="0" fontId="52" fillId="30" borderId="0" xfId="52" applyFont="1" applyFill="1"/>
    <xf numFmtId="0" fontId="84" fillId="30" borderId="0" xfId="52" applyFont="1" applyFill="1" applyAlignment="1">
      <alignment horizontal="right"/>
    </xf>
    <xf numFmtId="0" fontId="52" fillId="30" borderId="0" xfId="32" applyFont="1" applyFill="1"/>
    <xf numFmtId="0" fontId="61" fillId="30" borderId="0" xfId="32" applyFont="1" applyFill="1" applyAlignment="1">
      <alignment wrapText="1"/>
    </xf>
    <xf numFmtId="0" fontId="61" fillId="30" borderId="0" xfId="32" applyFont="1" applyFill="1" applyAlignment="1">
      <alignment horizontal="center"/>
    </xf>
    <xf numFmtId="0" fontId="52" fillId="30" borderId="0" xfId="52" applyFont="1" applyFill="1" applyAlignment="1"/>
    <xf numFmtId="3" fontId="52" fillId="21" borderId="0" xfId="52" applyNumberFormat="1" applyFont="1" applyFill="1" applyBorder="1" applyAlignment="1" applyProtection="1">
      <alignment horizontal="right"/>
      <protection locked="0"/>
    </xf>
    <xf numFmtId="3" fontId="52" fillId="29" borderId="0" xfId="52" applyNumberFormat="1" applyFont="1" applyFill="1" applyBorder="1" applyAlignment="1" applyProtection="1">
      <alignment horizontal="right"/>
      <protection locked="0"/>
    </xf>
    <xf numFmtId="0" fontId="52" fillId="29" borderId="0" xfId="52" applyFont="1" applyFill="1" applyAlignment="1"/>
    <xf numFmtId="0" fontId="52" fillId="30" borderId="0" xfId="52" applyFont="1" applyFill="1" applyBorder="1"/>
    <xf numFmtId="3" fontId="52" fillId="30" borderId="0" xfId="52" applyNumberFormat="1" applyFont="1" applyFill="1" applyBorder="1"/>
    <xf numFmtId="10" fontId="52" fillId="30" borderId="0" xfId="52" applyNumberFormat="1" applyFont="1" applyFill="1"/>
    <xf numFmtId="167" fontId="52" fillId="21" borderId="0" xfId="52" applyNumberFormat="1" applyFont="1" applyFill="1" applyBorder="1" applyAlignment="1" applyProtection="1">
      <alignment vertical="center"/>
      <protection locked="0"/>
    </xf>
    <xf numFmtId="14" fontId="61" fillId="30" borderId="0" xfId="52" applyNumberFormat="1" applyFont="1" applyFill="1" applyAlignment="1"/>
    <xf numFmtId="167" fontId="52" fillId="21" borderId="0" xfId="52" applyNumberFormat="1" applyFont="1" applyFill="1" applyBorder="1" applyAlignment="1">
      <alignment vertical="center"/>
    </xf>
    <xf numFmtId="0" fontId="52" fillId="30" borderId="0" xfId="52" applyNumberFormat="1" applyFont="1" applyFill="1" applyAlignment="1"/>
    <xf numFmtId="0" fontId="61" fillId="30" borderId="0" xfId="52" applyNumberFormat="1" applyFont="1" applyFill="1" applyAlignment="1">
      <alignment horizontal="right"/>
    </xf>
    <xf numFmtId="3" fontId="52" fillId="30" borderId="0" xfId="52" applyNumberFormat="1" applyFont="1" applyFill="1"/>
    <xf numFmtId="167" fontId="52" fillId="21" borderId="0" xfId="52" applyNumberFormat="1" applyFont="1" applyFill="1" applyBorder="1" applyAlignment="1" applyProtection="1">
      <alignment horizontal="right" vertical="center"/>
      <protection locked="0"/>
    </xf>
    <xf numFmtId="167" fontId="52" fillId="21" borderId="0" xfId="52" applyNumberFormat="1" applyFont="1" applyFill="1" applyBorder="1" applyAlignment="1" applyProtection="1">
      <alignment vertical="center"/>
    </xf>
    <xf numFmtId="49" fontId="52" fillId="30" borderId="0" xfId="52" applyNumberFormat="1" applyFont="1" applyFill="1" applyAlignment="1">
      <alignment horizontal="right"/>
    </xf>
    <xf numFmtId="0" fontId="52" fillId="30" borderId="0" xfId="52" applyNumberFormat="1" applyFont="1" applyFill="1"/>
    <xf numFmtId="0" fontId="89" fillId="30" borderId="0" xfId="52" applyNumberFormat="1" applyFont="1" applyFill="1" applyAlignment="1">
      <alignment horizontal="center"/>
    </xf>
    <xf numFmtId="167" fontId="52" fillId="21" borderId="0" xfId="52" applyNumberFormat="1" applyFont="1" applyFill="1" applyBorder="1" applyAlignment="1">
      <alignment horizontal="right" vertical="center"/>
    </xf>
    <xf numFmtId="0" fontId="89" fillId="30" borderId="0" xfId="31" applyFont="1" applyFill="1" applyBorder="1"/>
    <xf numFmtId="0" fontId="61" fillId="30" borderId="0" xfId="52" applyFont="1" applyFill="1" applyBorder="1"/>
    <xf numFmtId="0" fontId="61" fillId="30" borderId="0" xfId="52" applyFont="1" applyFill="1"/>
    <xf numFmtId="0" fontId="52" fillId="30" borderId="0" xfId="52" applyFont="1" applyFill="1" applyBorder="1" applyAlignment="1"/>
    <xf numFmtId="0" fontId="91" fillId="0" borderId="23" xfId="2" applyNumberFormat="1" applyFont="1" applyFill="1" applyBorder="1" applyAlignment="1" applyProtection="1">
      <alignment horizontal="left" vertical="center"/>
      <protection locked="0"/>
    </xf>
    <xf numFmtId="0" fontId="4" fillId="0" borderId="74" xfId="0" applyFont="1" applyFill="1" applyBorder="1" applyAlignment="1" applyProtection="1">
      <alignment horizontal="center" vertical="center"/>
    </xf>
    <xf numFmtId="0" fontId="34" fillId="0" borderId="36" xfId="0" applyFont="1" applyBorder="1" applyAlignment="1">
      <alignment horizontal="center" vertical="center"/>
    </xf>
    <xf numFmtId="0" fontId="91" fillId="0" borderId="15" xfId="2" applyNumberFormat="1" applyFont="1" applyFill="1" applyBorder="1" applyAlignment="1" applyProtection="1">
      <alignment horizontal="left" vertical="center"/>
      <protection locked="0"/>
    </xf>
    <xf numFmtId="0" fontId="91" fillId="0" borderId="23" xfId="2" quotePrefix="1" applyNumberFormat="1" applyFont="1" applyFill="1" applyBorder="1" applyAlignment="1" applyProtection="1">
      <alignment horizontal="left" vertical="center"/>
      <protection locked="0"/>
    </xf>
    <xf numFmtId="0" fontId="91" fillId="0" borderId="28" xfId="2" applyNumberFormat="1" applyFont="1" applyFill="1" applyBorder="1" applyAlignment="1" applyProtection="1">
      <alignment horizontal="left" vertical="center"/>
      <protection locked="0"/>
    </xf>
    <xf numFmtId="0" fontId="91" fillId="0" borderId="19" xfId="2" applyNumberFormat="1" applyFont="1" applyFill="1" applyBorder="1" applyAlignment="1" applyProtection="1">
      <alignment horizontal="left" vertical="center"/>
      <protection locked="0"/>
    </xf>
    <xf numFmtId="0" fontId="91" fillId="0" borderId="30" xfId="2" applyNumberFormat="1" applyFont="1" applyFill="1" applyBorder="1" applyAlignment="1" applyProtection="1">
      <alignment horizontal="left" vertical="center"/>
      <protection locked="0"/>
    </xf>
    <xf numFmtId="0" fontId="4" fillId="0" borderId="0" xfId="32" applyFont="1" applyAlignment="1">
      <alignment vertical="center"/>
    </xf>
    <xf numFmtId="0" fontId="5" fillId="0" borderId="0" xfId="32" applyFont="1" applyAlignment="1"/>
    <xf numFmtId="0" fontId="8" fillId="0" borderId="0" xfId="32" applyFont="1" applyFill="1"/>
    <xf numFmtId="0" fontId="12" fillId="0" borderId="0" xfId="32" applyFont="1" applyFill="1" applyBorder="1" applyAlignment="1">
      <alignment horizontal="center"/>
    </xf>
    <xf numFmtId="49" fontId="33" fillId="26" borderId="52" xfId="32" applyNumberFormat="1" applyFont="1" applyFill="1" applyBorder="1" applyAlignment="1" applyProtection="1">
      <alignment horizontal="center" vertical="center" wrapText="1"/>
    </xf>
    <xf numFmtId="0" fontId="33" fillId="26" borderId="53" xfId="32" applyFont="1" applyFill="1" applyBorder="1" applyAlignment="1" applyProtection="1">
      <alignment horizontal="left" vertical="center"/>
    </xf>
    <xf numFmtId="0" fontId="38" fillId="26" borderId="17" xfId="32" applyFont="1" applyFill="1" applyBorder="1" applyAlignment="1">
      <alignment horizontal="center" vertical="center" wrapText="1"/>
    </xf>
    <xf numFmtId="166" fontId="34" fillId="21" borderId="0" xfId="32" applyNumberFormat="1" applyFont="1" applyFill="1" applyBorder="1"/>
    <xf numFmtId="49" fontId="34" fillId="0" borderId="52" xfId="32" applyNumberFormat="1" applyFont="1" applyBorder="1" applyAlignment="1" applyProtection="1">
      <alignment horizontal="center" vertical="center" wrapText="1"/>
    </xf>
    <xf numFmtId="0" fontId="34" fillId="0" borderId="53" xfId="32" applyFont="1" applyBorder="1" applyAlignment="1"/>
    <xf numFmtId="0" fontId="38" fillId="21" borderId="5" xfId="32" applyFont="1" applyFill="1" applyBorder="1" applyAlignment="1">
      <alignment horizontal="center" vertical="center" wrapText="1"/>
    </xf>
    <xf numFmtId="0" fontId="34" fillId="0" borderId="0" xfId="32" applyFont="1" applyAlignment="1"/>
    <xf numFmtId="0" fontId="34" fillId="21" borderId="53" xfId="32" applyFont="1" applyFill="1" applyBorder="1" applyAlignment="1" applyProtection="1">
      <alignment vertical="center"/>
    </xf>
    <xf numFmtId="0" fontId="33" fillId="26" borderId="53" xfId="32" applyFont="1" applyFill="1" applyBorder="1" applyAlignment="1" applyProtection="1">
      <alignment horizontal="left" vertical="center" wrapText="1"/>
    </xf>
    <xf numFmtId="0" fontId="38" fillId="21" borderId="17" xfId="32" applyFont="1" applyFill="1" applyBorder="1" applyAlignment="1">
      <alignment horizontal="center" vertical="center" wrapText="1"/>
    </xf>
    <xf numFmtId="0" fontId="34" fillId="21" borderId="0" xfId="32" applyFont="1" applyFill="1" applyBorder="1" applyAlignment="1"/>
    <xf numFmtId="49" fontId="34" fillId="0" borderId="54" xfId="32" applyNumberFormat="1" applyFont="1" applyBorder="1" applyAlignment="1" applyProtection="1">
      <alignment horizontal="center" vertical="center" wrapText="1"/>
    </xf>
    <xf numFmtId="0" fontId="34" fillId="21" borderId="53" xfId="32" applyFont="1" applyFill="1" applyBorder="1" applyAlignment="1" applyProtection="1">
      <alignment horizontal="left" vertical="center" wrapText="1"/>
    </xf>
    <xf numFmtId="14" fontId="33" fillId="0" borderId="0" xfId="32" applyNumberFormat="1" applyFont="1" applyFill="1" applyAlignment="1"/>
    <xf numFmtId="0" fontId="34" fillId="0" borderId="0" xfId="32" applyFont="1" applyFill="1"/>
    <xf numFmtId="167" fontId="34" fillId="21" borderId="0" xfId="32" applyNumberFormat="1" applyFont="1" applyFill="1" applyBorder="1" applyAlignment="1">
      <alignment vertical="center"/>
    </xf>
    <xf numFmtId="0" fontId="34" fillId="0" borderId="0" xfId="32" applyNumberFormat="1" applyFont="1" applyFill="1" applyAlignment="1"/>
    <xf numFmtId="167" fontId="34" fillId="21" borderId="0" xfId="32" applyNumberFormat="1" applyFont="1" applyFill="1" applyBorder="1" applyAlignment="1" applyProtection="1">
      <alignment horizontal="right" vertical="center"/>
      <protection locked="0"/>
    </xf>
    <xf numFmtId="167" fontId="34" fillId="21" borderId="0" xfId="32" applyNumberFormat="1" applyFont="1" applyFill="1" applyBorder="1" applyAlignment="1" applyProtection="1">
      <alignment vertical="center"/>
    </xf>
    <xf numFmtId="0" fontId="35" fillId="0" borderId="0" xfId="32" applyNumberFormat="1" applyFont="1" applyFill="1" applyAlignment="1">
      <alignment horizontal="center"/>
    </xf>
    <xf numFmtId="167" fontId="34" fillId="21" borderId="0" xfId="32" applyNumberFormat="1" applyFont="1" applyFill="1" applyBorder="1" applyAlignment="1">
      <alignment horizontal="right" vertical="center"/>
    </xf>
    <xf numFmtId="167" fontId="34" fillId="21" borderId="0" xfId="32" applyNumberFormat="1" applyFont="1" applyFill="1" applyBorder="1" applyAlignment="1" applyProtection="1">
      <alignment horizontal="right" vertical="center"/>
    </xf>
    <xf numFmtId="0" fontId="33" fillId="0" borderId="0" xfId="32" applyFont="1"/>
    <xf numFmtId="3" fontId="33" fillId="0" borderId="0" xfId="32" applyNumberFormat="1" applyFont="1"/>
    <xf numFmtId="0" fontId="34" fillId="0" borderId="0" xfId="32" applyFont="1" applyAlignment="1">
      <alignment vertical="center"/>
    </xf>
    <xf numFmtId="0" fontId="6" fillId="30" borderId="0" xfId="32" applyFont="1" applyFill="1" applyAlignment="1">
      <alignment horizontal="center"/>
    </xf>
    <xf numFmtId="0" fontId="4" fillId="30" borderId="0" xfId="32" applyFont="1" applyFill="1" applyBorder="1" applyAlignment="1">
      <alignment horizontal="center"/>
    </xf>
    <xf numFmtId="3" fontId="13" fillId="30" borderId="0" xfId="32" applyNumberFormat="1" applyFont="1" applyFill="1" applyBorder="1" applyAlignment="1">
      <alignment horizontal="center" vertical="center"/>
    </xf>
    <xf numFmtId="0" fontId="0" fillId="29" borderId="0" xfId="0" applyFill="1" applyAlignment="1">
      <alignment horizontal="center"/>
    </xf>
    <xf numFmtId="0" fontId="34" fillId="30" borderId="0" xfId="0" applyFont="1" applyFill="1" applyAlignment="1">
      <alignment horizontal="center"/>
    </xf>
    <xf numFmtId="0" fontId="33" fillId="30" borderId="0" xfId="0" applyFont="1" applyFill="1" applyAlignment="1">
      <alignment horizontal="center"/>
    </xf>
    <xf numFmtId="0" fontId="28" fillId="30" borderId="0" xfId="0" applyNumberFormat="1" applyFont="1" applyFill="1" applyAlignment="1">
      <alignment horizontal="center"/>
    </xf>
    <xf numFmtId="49" fontId="34" fillId="30" borderId="31" xfId="49" applyNumberFormat="1" applyFont="1" applyFill="1" applyBorder="1" applyAlignment="1" applyProtection="1">
      <alignment horizontal="left" vertical="center" wrapText="1"/>
    </xf>
    <xf numFmtId="49" fontId="35" fillId="30" borderId="7" xfId="49" applyNumberFormat="1" applyFont="1" applyFill="1" applyBorder="1" applyAlignment="1" applyProtection="1">
      <alignment horizontal="left" vertical="center" wrapText="1"/>
    </xf>
    <xf numFmtId="49" fontId="35" fillId="30" borderId="63" xfId="49" applyNumberFormat="1" applyFont="1" applyFill="1" applyBorder="1" applyAlignment="1" applyProtection="1">
      <alignment horizontal="left" vertical="center" wrapText="1"/>
    </xf>
    <xf numFmtId="174" fontId="83" fillId="30" borderId="0" xfId="49" applyNumberFormat="1" applyFont="1" applyFill="1" applyAlignment="1">
      <alignment horizontal="center"/>
    </xf>
    <xf numFmtId="0" fontId="28" fillId="30" borderId="0" xfId="49" applyFont="1" applyFill="1" applyAlignment="1">
      <alignment horizontal="center"/>
    </xf>
    <xf numFmtId="0" fontId="28" fillId="30" borderId="0" xfId="49" applyFont="1" applyFill="1" applyAlignment="1" applyProtection="1">
      <alignment horizontal="center" wrapText="1"/>
    </xf>
    <xf numFmtId="0" fontId="11" fillId="30" borderId="0" xfId="49" applyFont="1" applyFill="1" applyAlignment="1" applyProtection="1">
      <alignment horizontal="center" wrapText="1"/>
    </xf>
    <xf numFmtId="0" fontId="28" fillId="21" borderId="0" xfId="49" applyFont="1" applyFill="1" applyAlignment="1">
      <alignment horizontal="center"/>
    </xf>
    <xf numFmtId="0" fontId="11" fillId="30" borderId="0" xfId="0" applyNumberFormat="1" applyFont="1" applyFill="1" applyAlignment="1">
      <alignment horizontal="center"/>
    </xf>
    <xf numFmtId="0" fontId="45" fillId="30" borderId="0" xfId="0" applyNumberFormat="1" applyFont="1" applyFill="1" applyAlignment="1">
      <alignment horizontal="center"/>
    </xf>
    <xf numFmtId="0" fontId="45" fillId="30" borderId="0" xfId="0" applyFont="1" applyFill="1" applyAlignment="1">
      <alignment horizontal="center"/>
    </xf>
    <xf numFmtId="167" fontId="11" fillId="30" borderId="0" xfId="49" applyNumberFormat="1" applyFont="1" applyFill="1" applyBorder="1" applyAlignment="1">
      <alignment horizontal="center" vertical="center"/>
    </xf>
    <xf numFmtId="0" fontId="45" fillId="30" borderId="0" xfId="0" applyFont="1" applyFill="1" applyAlignment="1">
      <alignment horizontal="center" vertical="center"/>
    </xf>
    <xf numFmtId="49" fontId="45" fillId="30" borderId="0" xfId="0" applyNumberFormat="1" applyFont="1" applyFill="1" applyAlignment="1">
      <alignment horizontal="center"/>
    </xf>
    <xf numFmtId="0" fontId="45" fillId="30" borderId="0" xfId="31" applyFont="1" applyFill="1" applyAlignment="1">
      <alignment horizontal="center"/>
    </xf>
    <xf numFmtId="49" fontId="11" fillId="30" borderId="0" xfId="0" applyNumberFormat="1" applyFont="1" applyFill="1" applyAlignment="1">
      <alignment horizontal="center"/>
    </xf>
    <xf numFmtId="174" fontId="45" fillId="30" borderId="0" xfId="49" applyNumberFormat="1" applyFont="1" applyFill="1" applyAlignment="1">
      <alignment horizontal="center"/>
    </xf>
    <xf numFmtId="174" fontId="45" fillId="30" borderId="0" xfId="49" applyNumberFormat="1" applyFont="1" applyFill="1"/>
    <xf numFmtId="174" fontId="79" fillId="30" borderId="0" xfId="49" applyNumberFormat="1" applyFont="1" applyFill="1"/>
    <xf numFmtId="0" fontId="93" fillId="30" borderId="0" xfId="49" applyFont="1" applyFill="1"/>
    <xf numFmtId="0" fontId="46" fillId="29" borderId="0" xfId="32" applyFont="1" applyFill="1" applyBorder="1" applyAlignment="1">
      <alignment horizontal="right" vertical="center"/>
    </xf>
    <xf numFmtId="0" fontId="97" fillId="30" borderId="0" xfId="32" applyFont="1" applyFill="1"/>
    <xf numFmtId="9" fontId="96" fillId="30" borderId="27" xfId="1" applyFont="1" applyFill="1" applyBorder="1" applyAlignment="1">
      <alignment horizontal="center"/>
    </xf>
    <xf numFmtId="3" fontId="98" fillId="30" borderId="0" xfId="49" applyNumberFormat="1" applyFont="1" applyFill="1" applyAlignment="1">
      <alignment horizontal="right"/>
    </xf>
    <xf numFmtId="167" fontId="99" fillId="30" borderId="0" xfId="49" applyNumberFormat="1" applyFont="1" applyFill="1" applyAlignment="1">
      <alignment horizontal="right"/>
    </xf>
    <xf numFmtId="3" fontId="74" fillId="30" borderId="0" xfId="49" applyNumberFormat="1" applyFont="1" applyFill="1"/>
    <xf numFmtId="3" fontId="74" fillId="30" borderId="0" xfId="49" applyNumberFormat="1" applyFont="1" applyFill="1" applyAlignment="1">
      <alignment horizontal="right"/>
    </xf>
    <xf numFmtId="3" fontId="4" fillId="30" borderId="24" xfId="49" applyNumberFormat="1" applyFont="1" applyFill="1" applyBorder="1" applyAlignment="1">
      <alignment horizontal="center" vertical="center" wrapText="1"/>
    </xf>
    <xf numFmtId="3" fontId="100" fillId="30" borderId="0" xfId="32" applyNumberFormat="1" applyFont="1" applyFill="1" applyAlignment="1">
      <alignment horizontal="center"/>
    </xf>
    <xf numFmtId="0" fontId="5" fillId="30" borderId="0" xfId="32" applyFont="1" applyFill="1" applyBorder="1" applyAlignment="1">
      <alignment horizontal="center" vertical="center"/>
    </xf>
    <xf numFmtId="0" fontId="101" fillId="30" borderId="0" xfId="49" applyFont="1" applyFill="1" applyBorder="1" applyAlignment="1">
      <alignment vertical="center"/>
    </xf>
    <xf numFmtId="0" fontId="100" fillId="30" borderId="0" xfId="49" applyFont="1" applyFill="1" applyAlignment="1"/>
    <xf numFmtId="3" fontId="4" fillId="0" borderId="78" xfId="0" applyNumberFormat="1" applyFont="1" applyFill="1" applyBorder="1" applyAlignment="1" applyProtection="1">
      <alignment vertical="center"/>
    </xf>
    <xf numFmtId="3" fontId="4" fillId="0" borderId="53" xfId="0" applyNumberFormat="1" applyFont="1" applyBorder="1" applyAlignment="1" applyProtection="1">
      <alignment vertical="center"/>
    </xf>
    <xf numFmtId="3" fontId="13" fillId="0" borderId="53" xfId="0" applyNumberFormat="1" applyFont="1" applyFill="1" applyBorder="1" applyAlignment="1" applyProtection="1">
      <alignment vertical="center"/>
    </xf>
    <xf numFmtId="3" fontId="4" fillId="0" borderId="53" xfId="0" applyNumberFormat="1" applyFont="1" applyFill="1" applyBorder="1" applyAlignment="1" applyProtection="1">
      <alignment vertical="center"/>
    </xf>
    <xf numFmtId="3" fontId="4" fillId="0" borderId="57" xfId="0" applyNumberFormat="1" applyFont="1" applyFill="1" applyBorder="1" applyAlignment="1" applyProtection="1">
      <alignment vertical="center"/>
    </xf>
    <xf numFmtId="0" fontId="13" fillId="0" borderId="0" xfId="49" applyFont="1" applyFill="1" applyBorder="1" applyAlignment="1">
      <alignment horizontal="center" vertical="center"/>
    </xf>
    <xf numFmtId="0" fontId="69" fillId="0" borderId="0" xfId="31" applyFont="1" applyFill="1" applyBorder="1"/>
    <xf numFmtId="0" fontId="34" fillId="30" borderId="5" xfId="0" applyFont="1" applyFill="1" applyBorder="1" applyAlignment="1">
      <alignment vertical="center" wrapText="1"/>
    </xf>
    <xf numFmtId="0" fontId="20" fillId="0" borderId="1" xfId="0" applyFont="1" applyFill="1" applyBorder="1" applyAlignment="1"/>
    <xf numFmtId="0" fontId="4" fillId="0" borderId="2" xfId="32" applyFont="1" applyFill="1" applyBorder="1" applyAlignment="1">
      <alignment horizontal="right"/>
    </xf>
    <xf numFmtId="0" fontId="20" fillId="0" borderId="1" xfId="0" applyFont="1" applyFill="1" applyBorder="1" applyAlignment="1">
      <alignment horizontal="right"/>
    </xf>
    <xf numFmtId="3" fontId="13" fillId="0" borderId="2" xfId="32" applyNumberFormat="1" applyFont="1" applyFill="1" applyBorder="1" applyAlignment="1">
      <alignment horizontal="center"/>
    </xf>
    <xf numFmtId="0" fontId="12" fillId="30" borderId="0" xfId="49" applyFont="1" applyFill="1" applyBorder="1" applyAlignment="1">
      <alignment horizontal="center" vertical="center"/>
    </xf>
    <xf numFmtId="0" fontId="20" fillId="29" borderId="0" xfId="0" applyFont="1" applyFill="1" applyAlignment="1">
      <alignment horizontal="center"/>
    </xf>
    <xf numFmtId="0" fontId="4" fillId="30" borderId="0" xfId="0" applyFont="1" applyFill="1" applyAlignment="1">
      <alignment horizontal="center"/>
    </xf>
    <xf numFmtId="0" fontId="13" fillId="30" borderId="0" xfId="0" applyFont="1" applyFill="1" applyAlignment="1">
      <alignment horizontal="center"/>
    </xf>
    <xf numFmtId="0" fontId="8" fillId="30" borderId="0" xfId="32" applyFont="1" applyFill="1" applyAlignment="1">
      <alignment horizontal="center"/>
    </xf>
    <xf numFmtId="0" fontId="20" fillId="30" borderId="0" xfId="32" applyFont="1" applyFill="1" applyAlignment="1">
      <alignment horizontal="center"/>
    </xf>
    <xf numFmtId="0" fontId="4" fillId="30" borderId="0" xfId="32" applyFont="1" applyFill="1" applyBorder="1" applyAlignment="1">
      <alignment horizontal="center" wrapText="1"/>
    </xf>
    <xf numFmtId="0" fontId="4" fillId="30" borderId="0" xfId="32" applyFont="1" applyFill="1" applyAlignment="1">
      <alignment horizontal="center" wrapText="1"/>
    </xf>
    <xf numFmtId="0" fontId="102" fillId="30" borderId="0" xfId="49" applyFont="1" applyFill="1"/>
    <xf numFmtId="0" fontId="46" fillId="29" borderId="0" xfId="0" applyFont="1" applyFill="1" applyBorder="1" applyAlignment="1">
      <alignment horizontal="center" vertical="center"/>
    </xf>
    <xf numFmtId="0" fontId="45" fillId="29" borderId="0" xfId="0" applyFont="1" applyFill="1" applyAlignment="1">
      <alignment horizontal="center" vertical="center"/>
    </xf>
    <xf numFmtId="3" fontId="45" fillId="29" borderId="0" xfId="0" applyNumberFormat="1" applyFont="1" applyFill="1" applyAlignment="1">
      <alignment horizontal="center" vertical="center"/>
    </xf>
    <xf numFmtId="49" fontId="33" fillId="0" borderId="0" xfId="32" applyNumberFormat="1" applyFont="1" applyFill="1" applyBorder="1" applyAlignment="1" applyProtection="1">
      <alignment horizontal="center" vertical="center" wrapText="1"/>
    </xf>
    <xf numFmtId="0" fontId="33" fillId="0" borderId="0" xfId="32" applyFont="1" applyFill="1" applyBorder="1" applyAlignment="1" applyProtection="1">
      <alignment horizontal="left" vertical="center"/>
    </xf>
    <xf numFmtId="0" fontId="38" fillId="0" borderId="0" xfId="32" applyFont="1" applyFill="1" applyBorder="1" applyAlignment="1">
      <alignment horizontal="center" vertical="center" wrapText="1"/>
    </xf>
    <xf numFmtId="166" fontId="34" fillId="0" borderId="0" xfId="32" applyNumberFormat="1" applyFont="1" applyFill="1" applyBorder="1"/>
    <xf numFmtId="0" fontId="5" fillId="0" borderId="0" xfId="32" applyFont="1" applyAlignment="1">
      <alignment horizontal="center"/>
    </xf>
    <xf numFmtId="3" fontId="34" fillId="3" borderId="24" xfId="32" applyNumberFormat="1" applyFont="1" applyFill="1" applyBorder="1" applyAlignment="1" applyProtection="1">
      <alignment horizontal="center" vertical="center"/>
      <protection locked="0"/>
    </xf>
    <xf numFmtId="3" fontId="34" fillId="3" borderId="17" xfId="32" applyNumberFormat="1" applyFont="1" applyFill="1" applyBorder="1" applyAlignment="1" applyProtection="1">
      <alignment horizontal="center" vertical="center"/>
      <protection locked="0"/>
    </xf>
    <xf numFmtId="3" fontId="34" fillId="3" borderId="23" xfId="32" applyNumberFormat="1" applyFont="1" applyFill="1" applyBorder="1" applyAlignment="1" applyProtection="1">
      <alignment horizontal="center" vertical="center"/>
      <protection locked="0"/>
    </xf>
    <xf numFmtId="175" fontId="33" fillId="0" borderId="0" xfId="32" applyNumberFormat="1" applyFont="1" applyFill="1" applyBorder="1" applyAlignment="1">
      <alignment horizontal="center"/>
    </xf>
    <xf numFmtId="0" fontId="34" fillId="0" borderId="0" xfId="32" applyFont="1" applyFill="1" applyAlignment="1">
      <alignment horizontal="center"/>
    </xf>
    <xf numFmtId="0" fontId="34" fillId="0" borderId="0" xfId="32" applyFont="1" applyAlignment="1">
      <alignment horizontal="center"/>
    </xf>
    <xf numFmtId="0" fontId="34" fillId="0" borderId="0" xfId="32" applyNumberFormat="1" applyFont="1" applyFill="1" applyAlignment="1">
      <alignment horizontal="center"/>
    </xf>
    <xf numFmtId="0" fontId="33" fillId="0" borderId="0" xfId="32" applyNumberFormat="1" applyFont="1" applyFill="1" applyAlignment="1">
      <alignment horizontal="center"/>
    </xf>
    <xf numFmtId="3" fontId="34" fillId="0" borderId="0" xfId="32" applyNumberFormat="1" applyFont="1" applyAlignment="1">
      <alignment horizontal="center"/>
    </xf>
    <xf numFmtId="167" fontId="34" fillId="21" borderId="0" xfId="32" applyNumberFormat="1" applyFont="1" applyFill="1" applyBorder="1" applyAlignment="1" applyProtection="1">
      <alignment horizontal="center" vertical="center"/>
      <protection locked="0"/>
    </xf>
    <xf numFmtId="49" fontId="34" fillId="0" borderId="0" xfId="32" applyNumberFormat="1" applyFont="1" applyFill="1" applyAlignment="1">
      <alignment horizontal="center"/>
    </xf>
    <xf numFmtId="167" fontId="34" fillId="21" borderId="0" xfId="32" applyNumberFormat="1" applyFont="1" applyFill="1" applyBorder="1" applyAlignment="1">
      <alignment horizontal="center" vertical="center"/>
    </xf>
    <xf numFmtId="49" fontId="33" fillId="0" borderId="0" xfId="32" applyNumberFormat="1" applyFont="1" applyFill="1" applyAlignment="1">
      <alignment horizontal="center"/>
    </xf>
    <xf numFmtId="167" fontId="34" fillId="21" borderId="0" xfId="32" applyNumberFormat="1" applyFont="1" applyFill="1" applyBorder="1" applyAlignment="1" applyProtection="1">
      <alignment horizontal="center" vertical="center"/>
    </xf>
    <xf numFmtId="0" fontId="35" fillId="0" borderId="0" xfId="31" applyFont="1" applyFill="1" applyBorder="1" applyAlignment="1">
      <alignment horizontal="center"/>
    </xf>
    <xf numFmtId="0" fontId="33" fillId="0" borderId="0" xfId="32" applyFont="1" applyBorder="1" applyAlignment="1">
      <alignment horizontal="center"/>
    </xf>
    <xf numFmtId="0" fontId="4" fillId="0" borderId="0" xfId="32" applyFont="1" applyAlignment="1">
      <alignment horizontal="center"/>
    </xf>
    <xf numFmtId="0" fontId="105" fillId="30" borderId="91" xfId="49" applyFont="1" applyFill="1" applyBorder="1"/>
    <xf numFmtId="0" fontId="102" fillId="30" borderId="91" xfId="49" applyFont="1" applyFill="1" applyBorder="1"/>
    <xf numFmtId="0" fontId="105" fillId="30" borderId="91" xfId="49" applyFont="1" applyFill="1" applyBorder="1" applyAlignment="1">
      <alignment vertical="center"/>
    </xf>
    <xf numFmtId="0" fontId="104" fillId="30" borderId="91" xfId="49" applyFont="1" applyFill="1" applyBorder="1"/>
    <xf numFmtId="0" fontId="105" fillId="30" borderId="92" xfId="49" applyFont="1" applyFill="1" applyBorder="1"/>
    <xf numFmtId="3" fontId="13" fillId="34" borderId="1" xfId="49" applyNumberFormat="1" applyFont="1" applyFill="1" applyBorder="1" applyAlignment="1">
      <alignment horizontal="center" wrapText="1"/>
    </xf>
    <xf numFmtId="3" fontId="13" fillId="30" borderId="24" xfId="49" applyNumberFormat="1" applyFont="1" applyFill="1" applyBorder="1" applyAlignment="1">
      <alignment horizontal="center" vertical="center"/>
    </xf>
    <xf numFmtId="3" fontId="4" fillId="36" borderId="24" xfId="49" applyNumberFormat="1" applyFont="1" applyFill="1" applyBorder="1" applyAlignment="1">
      <alignment horizontal="center" vertical="center"/>
    </xf>
    <xf numFmtId="0" fontId="29" fillId="30" borderId="0" xfId="49" applyFont="1" applyFill="1" applyAlignment="1">
      <alignment horizontal="right"/>
    </xf>
    <xf numFmtId="0" fontId="13" fillId="30" borderId="0" xfId="0" applyNumberFormat="1" applyFont="1" applyFill="1" applyAlignment="1">
      <alignment horizontal="center"/>
    </xf>
    <xf numFmtId="0" fontId="29" fillId="30" borderId="0" xfId="0" applyNumberFormat="1" applyFont="1" applyFill="1" applyAlignment="1">
      <alignment horizontal="right"/>
    </xf>
    <xf numFmtId="3" fontId="13" fillId="30" borderId="29" xfId="49" applyNumberFormat="1" applyFont="1" applyFill="1" applyBorder="1" applyAlignment="1">
      <alignment horizontal="center" vertical="center" wrapText="1"/>
    </xf>
    <xf numFmtId="3" fontId="13" fillId="30" borderId="24" xfId="49" applyNumberFormat="1" applyFont="1" applyFill="1" applyBorder="1" applyAlignment="1">
      <alignment horizontal="center" vertical="center" wrapText="1"/>
    </xf>
    <xf numFmtId="3" fontId="13" fillId="30" borderId="30" xfId="49" applyNumberFormat="1" applyFont="1" applyFill="1" applyBorder="1" applyAlignment="1">
      <alignment horizontal="center" vertical="center" wrapText="1"/>
    </xf>
    <xf numFmtId="167" fontId="13" fillId="36" borderId="24" xfId="49" applyNumberFormat="1" applyFont="1" applyFill="1" applyBorder="1" applyAlignment="1">
      <alignment horizontal="center" vertical="center"/>
    </xf>
    <xf numFmtId="3" fontId="13" fillId="36" borderId="24" xfId="49" applyNumberFormat="1" applyFont="1" applyFill="1" applyBorder="1" applyAlignment="1">
      <alignment horizontal="center" vertical="center"/>
    </xf>
    <xf numFmtId="3" fontId="13" fillId="36" borderId="7" xfId="49" applyNumberFormat="1" applyFont="1" applyFill="1" applyBorder="1" applyAlignment="1">
      <alignment horizontal="center" vertical="center"/>
    </xf>
    <xf numFmtId="3" fontId="13" fillId="36" borderId="53" xfId="49" applyNumberFormat="1" applyFont="1" applyFill="1" applyBorder="1" applyAlignment="1">
      <alignment horizontal="center" vertical="center"/>
    </xf>
    <xf numFmtId="3" fontId="13" fillId="36" borderId="17" xfId="49" applyNumberFormat="1" applyFont="1" applyFill="1" applyBorder="1" applyAlignment="1">
      <alignment horizontal="center" vertical="center"/>
    </xf>
    <xf numFmtId="3" fontId="13" fillId="36" borderId="52" xfId="49" applyNumberFormat="1" applyFont="1" applyFill="1" applyBorder="1" applyAlignment="1">
      <alignment horizontal="center" vertical="center"/>
    </xf>
    <xf numFmtId="3" fontId="13" fillId="36" borderId="32" xfId="49" applyNumberFormat="1" applyFont="1" applyFill="1" applyBorder="1" applyAlignment="1">
      <alignment horizontal="center" vertical="center"/>
    </xf>
    <xf numFmtId="3" fontId="4" fillId="0" borderId="52" xfId="49" applyNumberFormat="1" applyFont="1" applyFill="1" applyBorder="1" applyAlignment="1">
      <alignment horizontal="center" vertical="center" wrapText="1"/>
    </xf>
    <xf numFmtId="3" fontId="4" fillId="0" borderId="7" xfId="49" applyNumberFormat="1" applyFont="1" applyFill="1" applyBorder="1" applyAlignment="1">
      <alignment horizontal="center" vertical="center" wrapText="1"/>
    </xf>
    <xf numFmtId="3" fontId="4" fillId="0" borderId="53" xfId="49" applyNumberFormat="1" applyFont="1" applyFill="1" applyBorder="1" applyAlignment="1">
      <alignment horizontal="center" vertical="center" wrapText="1"/>
    </xf>
    <xf numFmtId="0" fontId="13" fillId="30" borderId="25" xfId="49" applyFont="1" applyFill="1" applyBorder="1" applyAlignment="1">
      <alignment horizontal="center" vertical="center" wrapText="1"/>
    </xf>
    <xf numFmtId="3" fontId="13" fillId="30" borderId="51" xfId="49" applyNumberFormat="1" applyFont="1" applyFill="1" applyBorder="1" applyAlignment="1">
      <alignment horizontal="center" vertical="center" wrapText="1"/>
    </xf>
    <xf numFmtId="0" fontId="46" fillId="30" borderId="0" xfId="0" applyFont="1" applyFill="1" applyBorder="1" applyAlignment="1">
      <alignment vertical="center"/>
    </xf>
    <xf numFmtId="0" fontId="33" fillId="30" borderId="0" xfId="32" applyFont="1" applyFill="1" applyBorder="1" applyAlignment="1">
      <alignment horizontal="center" vertical="center" wrapText="1"/>
    </xf>
    <xf numFmtId="3" fontId="49" fillId="30" borderId="0" xfId="32" applyNumberFormat="1" applyFont="1" applyFill="1" applyBorder="1" applyAlignment="1">
      <alignment horizontal="center" vertical="center"/>
    </xf>
    <xf numFmtId="3" fontId="4" fillId="30" borderId="0" xfId="32" applyNumberFormat="1" applyFont="1" applyFill="1" applyBorder="1" applyAlignment="1">
      <alignment horizontal="center" vertical="center"/>
    </xf>
    <xf numFmtId="0" fontId="34" fillId="30" borderId="0" xfId="0" applyFont="1" applyFill="1" applyBorder="1"/>
    <xf numFmtId="0" fontId="35" fillId="30" borderId="0" xfId="0" applyNumberFormat="1" applyFont="1" applyFill="1" applyBorder="1" applyAlignment="1">
      <alignment horizontal="center"/>
    </xf>
    <xf numFmtId="49" fontId="34" fillId="30" borderId="0" xfId="0" applyNumberFormat="1" applyFont="1" applyFill="1" applyBorder="1" applyAlignment="1">
      <alignment horizontal="right"/>
    </xf>
    <xf numFmtId="0" fontId="45" fillId="30" borderId="0" xfId="0" applyFont="1" applyFill="1" applyBorder="1" applyAlignment="1" applyProtection="1">
      <alignment horizontal="left" vertical="center" wrapText="1"/>
    </xf>
    <xf numFmtId="0" fontId="66" fillId="0" borderId="23" xfId="32" applyNumberFormat="1" applyFont="1" applyFill="1" applyBorder="1" applyAlignment="1" applyProtection="1">
      <alignment horizontal="left" vertical="center"/>
      <protection locked="0"/>
    </xf>
    <xf numFmtId="0" fontId="66" fillId="0" borderId="15" xfId="32" applyNumberFormat="1" applyFont="1" applyFill="1" applyBorder="1" applyAlignment="1" applyProtection="1">
      <alignment horizontal="left" vertical="center"/>
      <protection locked="0"/>
    </xf>
    <xf numFmtId="3" fontId="4" fillId="0" borderId="56" xfId="49" applyNumberFormat="1" applyFont="1" applyFill="1" applyBorder="1" applyAlignment="1">
      <alignment horizontal="center" vertical="center" wrapText="1"/>
    </xf>
    <xf numFmtId="3" fontId="4" fillId="0" borderId="77" xfId="49" applyNumberFormat="1" applyFont="1" applyFill="1" applyBorder="1" applyAlignment="1">
      <alignment horizontal="center" vertical="center" wrapText="1"/>
    </xf>
    <xf numFmtId="3" fontId="4" fillId="0" borderId="57" xfId="49" applyNumberFormat="1" applyFont="1" applyFill="1" applyBorder="1" applyAlignment="1">
      <alignment horizontal="center" vertical="center" wrapText="1"/>
    </xf>
    <xf numFmtId="9" fontId="13" fillId="0" borderId="2" xfId="32" applyNumberFormat="1" applyFont="1" applyFill="1" applyBorder="1" applyAlignment="1">
      <alignment horizontal="center"/>
    </xf>
    <xf numFmtId="3" fontId="4" fillId="0" borderId="24" xfId="49" applyNumberFormat="1" applyFont="1" applyFill="1" applyBorder="1" applyAlignment="1">
      <alignment horizontal="center" vertical="center" wrapText="1"/>
    </xf>
    <xf numFmtId="9" fontId="36" fillId="30" borderId="17" xfId="49" applyNumberFormat="1" applyFont="1" applyFill="1" applyBorder="1" applyAlignment="1">
      <alignment horizontal="center" vertical="center"/>
    </xf>
    <xf numFmtId="0" fontId="4" fillId="30" borderId="5" xfId="49" applyFont="1" applyFill="1" applyBorder="1" applyAlignment="1">
      <alignment wrapText="1"/>
    </xf>
    <xf numFmtId="0" fontId="34" fillId="0" borderId="17" xfId="49" applyFont="1" applyFill="1" applyBorder="1" applyAlignment="1">
      <alignment horizontal="center" vertical="center"/>
    </xf>
    <xf numFmtId="0" fontId="67" fillId="0" borderId="0" xfId="0" applyFont="1"/>
    <xf numFmtId="0" fontId="67" fillId="0" borderId="15" xfId="0" applyFont="1" applyBorder="1"/>
    <xf numFmtId="0" fontId="12" fillId="30" borderId="0" xfId="49" applyFont="1" applyFill="1" applyBorder="1" applyAlignment="1">
      <alignment horizontal="center"/>
    </xf>
    <xf numFmtId="0" fontId="95" fillId="30" borderId="0" xfId="49" applyFont="1" applyFill="1" applyBorder="1" applyAlignment="1">
      <alignment horizontal="center"/>
    </xf>
    <xf numFmtId="0" fontId="58" fillId="30" borderId="0" xfId="49" applyFont="1" applyFill="1" applyBorder="1" applyAlignment="1" applyProtection="1">
      <alignment horizontal="right" wrapText="1"/>
    </xf>
    <xf numFmtId="9" fontId="58" fillId="30" borderId="0" xfId="49" applyNumberFormat="1" applyFont="1" applyFill="1" applyBorder="1" applyAlignment="1" applyProtection="1">
      <alignment horizontal="center" wrapText="1"/>
    </xf>
    <xf numFmtId="10" fontId="58" fillId="30" borderId="0" xfId="49" applyNumberFormat="1" applyFont="1" applyFill="1" applyBorder="1" applyAlignment="1" applyProtection="1">
      <alignment horizontal="center" wrapText="1"/>
    </xf>
    <xf numFmtId="3" fontId="4" fillId="0" borderId="0" xfId="32" applyNumberFormat="1" applyFont="1" applyFill="1" applyBorder="1" applyAlignment="1" applyProtection="1">
      <alignment horizontal="center" vertical="center"/>
      <protection locked="0"/>
    </xf>
    <xf numFmtId="0" fontId="36" fillId="0" borderId="20" xfId="31" applyFont="1" applyBorder="1" applyAlignment="1">
      <alignment horizontal="right"/>
    </xf>
    <xf numFmtId="3" fontId="30" fillId="30" borderId="0" xfId="49" applyNumberFormat="1" applyFont="1" applyFill="1"/>
    <xf numFmtId="0" fontId="103" fillId="30" borderId="91" xfId="49" applyFont="1" applyFill="1" applyBorder="1"/>
    <xf numFmtId="0" fontId="110" fillId="30" borderId="0" xfId="49" applyFont="1" applyFill="1"/>
    <xf numFmtId="0" fontId="4" fillId="34" borderId="29" xfId="32" applyFont="1" applyFill="1" applyBorder="1"/>
    <xf numFmtId="0" fontId="36" fillId="34" borderId="51" xfId="32" applyFont="1" applyFill="1" applyBorder="1" applyAlignment="1">
      <alignment horizontal="left" vertical="center" wrapText="1"/>
    </xf>
    <xf numFmtId="9" fontId="4" fillId="34" borderId="75" xfId="1" applyFont="1" applyFill="1" applyBorder="1" applyAlignment="1">
      <alignment horizontal="center"/>
    </xf>
    <xf numFmtId="9" fontId="4" fillId="34" borderId="73" xfId="1" applyFont="1" applyFill="1" applyBorder="1" applyAlignment="1">
      <alignment horizontal="center"/>
    </xf>
    <xf numFmtId="9" fontId="4" fillId="34" borderId="74" xfId="1" applyFont="1" applyFill="1" applyBorder="1" applyAlignment="1">
      <alignment horizontal="center"/>
    </xf>
    <xf numFmtId="0" fontId="4" fillId="34" borderId="36" xfId="32" applyFont="1" applyFill="1" applyBorder="1"/>
    <xf numFmtId="0" fontId="36" fillId="34" borderId="39" xfId="32" applyFont="1" applyFill="1" applyBorder="1" applyAlignment="1">
      <alignment horizontal="left" vertical="center" wrapText="1"/>
    </xf>
    <xf numFmtId="9" fontId="4" fillId="34" borderId="52" xfId="1" applyFont="1" applyFill="1" applyBorder="1" applyAlignment="1">
      <alignment horizontal="center"/>
    </xf>
    <xf numFmtId="9" fontId="4" fillId="34" borderId="7" xfId="1" applyFont="1" applyFill="1" applyBorder="1" applyAlignment="1">
      <alignment horizontal="center"/>
    </xf>
    <xf numFmtId="9" fontId="4" fillId="34" borderId="53" xfId="1" applyFont="1" applyFill="1" applyBorder="1" applyAlignment="1">
      <alignment horizontal="center"/>
    </xf>
    <xf numFmtId="0" fontId="4" fillId="34" borderId="30" xfId="32" applyFont="1" applyFill="1" applyBorder="1"/>
    <xf numFmtId="0" fontId="36" fillId="34" borderId="21" xfId="32" applyFont="1" applyFill="1" applyBorder="1" applyAlignment="1">
      <alignment horizontal="left" vertical="center" wrapText="1"/>
    </xf>
    <xf numFmtId="9" fontId="4" fillId="34" borderId="56" xfId="1" applyFont="1" applyFill="1" applyBorder="1" applyAlignment="1">
      <alignment horizontal="center"/>
    </xf>
    <xf numFmtId="9" fontId="4" fillId="34" borderId="77" xfId="1" applyFont="1" applyFill="1" applyBorder="1" applyAlignment="1">
      <alignment horizontal="center"/>
    </xf>
    <xf numFmtId="9" fontId="4" fillId="34" borderId="57" xfId="1" applyFont="1" applyFill="1" applyBorder="1" applyAlignment="1">
      <alignment horizontal="center"/>
    </xf>
    <xf numFmtId="9" fontId="13" fillId="34" borderId="38" xfId="1" applyFont="1" applyFill="1" applyBorder="1" applyAlignment="1">
      <alignment horizontal="center" vertical="center"/>
    </xf>
    <xf numFmtId="9" fontId="13" fillId="34" borderId="9" xfId="1" applyFont="1" applyFill="1" applyBorder="1" applyAlignment="1">
      <alignment horizontal="center" vertical="center"/>
    </xf>
    <xf numFmtId="9" fontId="13" fillId="34" borderId="10" xfId="1" applyFont="1" applyFill="1" applyBorder="1" applyAlignment="1">
      <alignment horizontal="center" vertical="center"/>
    </xf>
    <xf numFmtId="3" fontId="65" fillId="0" borderId="0" xfId="49" applyNumberFormat="1" applyFont="1" applyFill="1"/>
    <xf numFmtId="3" fontId="74" fillId="0" borderId="0" xfId="49" applyNumberFormat="1" applyFont="1" applyFill="1"/>
    <xf numFmtId="3" fontId="98" fillId="0" borderId="0" xfId="49" applyNumberFormat="1" applyFont="1" applyFill="1" applyAlignment="1">
      <alignment horizontal="right"/>
    </xf>
    <xf numFmtId="167" fontId="99" fillId="0" borderId="0" xfId="49" applyNumberFormat="1" applyFont="1" applyFill="1" applyAlignment="1">
      <alignment horizontal="right"/>
    </xf>
    <xf numFmtId="3" fontId="74" fillId="0" borderId="0" xfId="49" applyNumberFormat="1" applyFont="1" applyFill="1" applyAlignment="1">
      <alignment horizontal="right"/>
    </xf>
    <xf numFmtId="3" fontId="20" fillId="0" borderId="0" xfId="49" applyNumberFormat="1" applyFont="1" applyFill="1"/>
    <xf numFmtId="3" fontId="4" fillId="0" borderId="75" xfId="49" applyNumberFormat="1" applyFont="1" applyFill="1" applyBorder="1" applyAlignment="1">
      <alignment horizontal="center" vertical="center" wrapText="1"/>
    </xf>
    <xf numFmtId="3" fontId="4" fillId="0" borderId="73" xfId="49" applyNumberFormat="1" applyFont="1" applyFill="1" applyBorder="1" applyAlignment="1">
      <alignment horizontal="center" vertical="center" wrapText="1"/>
    </xf>
    <xf numFmtId="3" fontId="4" fillId="0" borderId="76" xfId="49" applyNumberFormat="1" applyFont="1" applyFill="1" applyBorder="1" applyAlignment="1">
      <alignment horizontal="center" vertical="center" wrapText="1"/>
    </xf>
    <xf numFmtId="0" fontId="58" fillId="30" borderId="0" xfId="49" applyFont="1" applyFill="1" applyBorder="1" applyAlignment="1">
      <alignment horizontal="center"/>
    </xf>
    <xf numFmtId="0" fontId="58" fillId="30" borderId="0" xfId="49" applyFont="1" applyFill="1"/>
    <xf numFmtId="3" fontId="33" fillId="34" borderId="2" xfId="49" applyNumberFormat="1" applyFont="1" applyFill="1" applyBorder="1" applyAlignment="1">
      <alignment horizontal="center" wrapText="1"/>
    </xf>
    <xf numFmtId="0" fontId="4" fillId="30" borderId="0" xfId="49" applyFont="1" applyFill="1" applyAlignment="1">
      <alignment horizontal="center"/>
    </xf>
    <xf numFmtId="0" fontId="4" fillId="30" borderId="0" xfId="0" applyNumberFormat="1" applyFont="1" applyFill="1" applyAlignment="1">
      <alignment horizontal="center"/>
    </xf>
    <xf numFmtId="0" fontId="4" fillId="30" borderId="0" xfId="31" applyFont="1" applyFill="1" applyAlignment="1">
      <alignment horizontal="center"/>
    </xf>
    <xf numFmtId="167" fontId="13" fillId="34" borderId="2" xfId="49" applyNumberFormat="1" applyFont="1" applyFill="1" applyBorder="1" applyAlignment="1">
      <alignment horizontal="center" wrapText="1"/>
    </xf>
    <xf numFmtId="167" fontId="13" fillId="34" borderId="65" xfId="49" applyNumberFormat="1" applyFont="1" applyFill="1" applyBorder="1" applyAlignment="1">
      <alignment horizontal="center" wrapText="1"/>
    </xf>
    <xf numFmtId="167" fontId="13" fillId="34" borderId="9" xfId="49" applyNumberFormat="1" applyFont="1" applyFill="1" applyBorder="1" applyAlignment="1">
      <alignment horizontal="center" wrapText="1"/>
    </xf>
    <xf numFmtId="167" fontId="13" fillId="34" borderId="60" xfId="49" applyNumberFormat="1" applyFont="1" applyFill="1" applyBorder="1" applyAlignment="1">
      <alignment horizontal="center" wrapText="1"/>
    </xf>
    <xf numFmtId="167" fontId="13" fillId="34" borderId="10" xfId="49" applyNumberFormat="1" applyFont="1" applyFill="1" applyBorder="1" applyAlignment="1">
      <alignment horizontal="center" wrapText="1"/>
    </xf>
    <xf numFmtId="0" fontId="34" fillId="0" borderId="17" xfId="49" applyFont="1" applyFill="1" applyBorder="1" applyAlignment="1">
      <alignment vertical="center" wrapText="1"/>
    </xf>
    <xf numFmtId="0" fontId="36" fillId="30" borderId="0" xfId="49" applyFont="1" applyFill="1" applyAlignment="1">
      <alignment horizontal="left"/>
    </xf>
    <xf numFmtId="0" fontId="33" fillId="30" borderId="0" xfId="0" applyFont="1" applyFill="1" applyAlignment="1">
      <alignment horizontal="left" indent="1"/>
    </xf>
    <xf numFmtId="0" fontId="35" fillId="30" borderId="0" xfId="0" applyFont="1" applyFill="1" applyAlignment="1">
      <alignment horizontal="left" indent="1"/>
    </xf>
    <xf numFmtId="0" fontId="12" fillId="30" borderId="0" xfId="32" applyFont="1" applyFill="1" applyAlignment="1">
      <alignment horizontal="center"/>
    </xf>
    <xf numFmtId="0" fontId="5" fillId="30" borderId="0" xfId="32" applyFont="1" applyFill="1" applyBorder="1" applyAlignment="1">
      <alignment horizontal="center" vertical="center"/>
    </xf>
    <xf numFmtId="0" fontId="95" fillId="30" borderId="0" xfId="49" applyFont="1" applyFill="1" applyBorder="1" applyAlignment="1">
      <alignment horizontal="center"/>
    </xf>
    <xf numFmtId="0" fontId="13" fillId="30" borderId="0" xfId="0" applyFont="1" applyFill="1" applyAlignment="1">
      <alignment horizontal="left" indent="1"/>
    </xf>
    <xf numFmtId="0" fontId="36" fillId="30" borderId="0" xfId="0" applyFont="1" applyFill="1" applyAlignment="1">
      <alignment horizontal="left" indent="1"/>
    </xf>
    <xf numFmtId="0" fontId="111" fillId="0" borderId="17" xfId="2" applyFont="1" applyBorder="1" applyAlignment="1" applyProtection="1">
      <alignment horizontal="center" vertical="center"/>
    </xf>
    <xf numFmtId="0" fontId="11" fillId="0" borderId="14" xfId="0" applyFont="1" applyFill="1" applyBorder="1" applyAlignment="1">
      <alignment vertical="center"/>
    </xf>
    <xf numFmtId="0" fontId="11" fillId="0" borderId="15" xfId="0" applyFont="1" applyFill="1" applyBorder="1" applyAlignment="1">
      <alignment vertical="center"/>
    </xf>
    <xf numFmtId="0" fontId="11" fillId="0" borderId="19" xfId="0" applyFont="1" applyFill="1" applyBorder="1" applyAlignment="1">
      <alignment vertical="center"/>
    </xf>
    <xf numFmtId="0" fontId="4" fillId="0" borderId="17" xfId="0" applyNumberFormat="1" applyFont="1" applyBorder="1" applyAlignment="1">
      <alignment horizontal="center"/>
    </xf>
    <xf numFmtId="0" fontId="4" fillId="0" borderId="21" xfId="0" applyNumberFormat="1" applyFont="1" applyBorder="1" applyAlignment="1">
      <alignment horizontal="center"/>
    </xf>
    <xf numFmtId="0" fontId="111" fillId="0" borderId="21" xfId="2" applyFont="1" applyBorder="1" applyAlignment="1" applyProtection="1">
      <alignment horizontal="center" vertical="center"/>
    </xf>
    <xf numFmtId="0" fontId="4" fillId="0" borderId="0" xfId="0" applyFont="1" applyFill="1" applyAlignment="1">
      <alignment vertical="center"/>
    </xf>
    <xf numFmtId="0" fontId="8" fillId="0" borderId="0" xfId="0" applyFont="1" applyAlignment="1">
      <alignment vertical="center"/>
    </xf>
    <xf numFmtId="0" fontId="11" fillId="0" borderId="0" xfId="0" applyFont="1" applyFill="1" applyAlignment="1">
      <alignment vertical="center"/>
    </xf>
    <xf numFmtId="14" fontId="61" fillId="0" borderId="0" xfId="0" applyNumberFormat="1" applyFont="1" applyAlignment="1">
      <alignment vertical="center"/>
    </xf>
    <xf numFmtId="0" fontId="13" fillId="30" borderId="0" xfId="0" applyFont="1" applyFill="1" applyAlignment="1">
      <alignment vertical="center"/>
    </xf>
    <xf numFmtId="0" fontId="67" fillId="30" borderId="0" xfId="32" applyFont="1" applyFill="1" applyAlignment="1">
      <alignment vertical="center"/>
    </xf>
    <xf numFmtId="0" fontId="36" fillId="30" borderId="0" xfId="0" applyFont="1" applyFill="1" applyAlignment="1">
      <alignment vertical="center"/>
    </xf>
    <xf numFmtId="0" fontId="41" fillId="30" borderId="0" xfId="0" applyFont="1" applyFill="1" applyAlignment="1">
      <alignment vertical="center"/>
    </xf>
    <xf numFmtId="0" fontId="33" fillId="30" borderId="0" xfId="0" applyFont="1" applyFill="1" applyAlignment="1">
      <alignment vertical="center"/>
    </xf>
    <xf numFmtId="0" fontId="34" fillId="30" borderId="0" xfId="0" applyFont="1" applyFill="1" applyAlignment="1">
      <alignment vertical="center"/>
    </xf>
    <xf numFmtId="0" fontId="12" fillId="0" borderId="0" xfId="0" applyFont="1" applyFill="1" applyAlignment="1">
      <alignment horizontal="center" vertical="center" wrapText="1"/>
    </xf>
    <xf numFmtId="0" fontId="4" fillId="3" borderId="7" xfId="0" applyFont="1" applyFill="1" applyBorder="1" applyAlignment="1" applyProtection="1">
      <alignment horizontal="center" vertical="center" wrapText="1"/>
      <protection locked="0"/>
    </xf>
    <xf numFmtId="3" fontId="13" fillId="0" borderId="7" xfId="0" applyNumberFormat="1" applyFont="1" applyFill="1" applyBorder="1" applyAlignment="1">
      <alignment horizontal="center" vertical="center"/>
    </xf>
    <xf numFmtId="0" fontId="4" fillId="0" borderId="5" xfId="2" applyFont="1" applyBorder="1" applyAlignment="1" applyProtection="1">
      <alignment horizontal="center" vertical="center"/>
    </xf>
    <xf numFmtId="0" fontId="4" fillId="0" borderId="17" xfId="2" applyFont="1" applyBorder="1" applyAlignment="1" applyProtection="1">
      <alignment horizontal="center" vertical="center"/>
    </xf>
    <xf numFmtId="0" fontId="4" fillId="0" borderId="21" xfId="2" applyFont="1" applyBorder="1" applyAlignment="1" applyProtection="1">
      <alignment horizontal="center" vertical="center"/>
    </xf>
    <xf numFmtId="0" fontId="4" fillId="3" borderId="73" xfId="0" applyFont="1" applyFill="1" applyBorder="1" applyAlignment="1" applyProtection="1">
      <alignment horizontal="center" vertical="center" wrapText="1"/>
      <protection locked="0"/>
    </xf>
    <xf numFmtId="0" fontId="4" fillId="3" borderId="76" xfId="0" applyFont="1" applyFill="1" applyBorder="1" applyAlignment="1" applyProtection="1">
      <alignment horizontal="center" vertical="center" wrapText="1"/>
      <protection locked="0"/>
    </xf>
    <xf numFmtId="0" fontId="4" fillId="3" borderId="53" xfId="0" applyFont="1" applyFill="1" applyBorder="1" applyAlignment="1" applyProtection="1">
      <alignment horizontal="center" vertical="center" wrapText="1"/>
      <protection locked="0"/>
    </xf>
    <xf numFmtId="0" fontId="4" fillId="3" borderId="77" xfId="0" applyFont="1" applyFill="1" applyBorder="1" applyAlignment="1" applyProtection="1">
      <alignment horizontal="center" vertical="center" wrapText="1"/>
      <protection locked="0"/>
    </xf>
    <xf numFmtId="0" fontId="4" fillId="3" borderId="57" xfId="0" applyFont="1" applyFill="1" applyBorder="1" applyAlignment="1" applyProtection="1">
      <alignment horizontal="center" vertical="center" wrapText="1"/>
      <protection locked="0"/>
    </xf>
    <xf numFmtId="3" fontId="13" fillId="0" borderId="73" xfId="0" applyNumberFormat="1" applyFont="1" applyFill="1" applyBorder="1" applyAlignment="1">
      <alignment horizontal="center" vertical="center"/>
    </xf>
    <xf numFmtId="3" fontId="13" fillId="0" borderId="76" xfId="0" applyNumberFormat="1" applyFont="1" applyFill="1" applyBorder="1" applyAlignment="1">
      <alignment horizontal="center" vertical="center"/>
    </xf>
    <xf numFmtId="3" fontId="13" fillId="0" borderId="53" xfId="0" applyNumberFormat="1" applyFont="1" applyFill="1" applyBorder="1" applyAlignment="1">
      <alignment horizontal="center" vertical="center"/>
    </xf>
    <xf numFmtId="0" fontId="4" fillId="0" borderId="51" xfId="2" applyFont="1" applyBorder="1" applyAlignment="1" applyProtection="1">
      <alignment horizontal="center" vertical="center"/>
    </xf>
    <xf numFmtId="0" fontId="4" fillId="0" borderId="76" xfId="0" applyFont="1" applyBorder="1" applyAlignment="1">
      <alignment vertical="center" wrapText="1"/>
    </xf>
    <xf numFmtId="0" fontId="4" fillId="0" borderId="53" xfId="0" applyFont="1" applyBorder="1" applyAlignment="1">
      <alignment vertical="center" wrapText="1"/>
    </xf>
    <xf numFmtId="0" fontId="4" fillId="0" borderId="57" xfId="0" applyFont="1" applyBorder="1" applyAlignment="1">
      <alignment vertical="center" wrapText="1"/>
    </xf>
    <xf numFmtId="0" fontId="4" fillId="0" borderId="76" xfId="0" applyFont="1" applyFill="1" applyBorder="1" applyAlignment="1">
      <alignment vertical="center" wrapText="1"/>
    </xf>
    <xf numFmtId="0" fontId="4" fillId="0" borderId="53" xfId="0" applyFont="1" applyFill="1" applyBorder="1" applyAlignment="1">
      <alignment vertical="center" wrapText="1"/>
    </xf>
    <xf numFmtId="0" fontId="4" fillId="0" borderId="57" xfId="0" applyFont="1" applyFill="1" applyBorder="1" applyAlignment="1">
      <alignment vertical="center" wrapText="1"/>
    </xf>
    <xf numFmtId="0" fontId="4" fillId="0" borderId="53" xfId="0" applyFont="1" applyBorder="1" applyAlignment="1">
      <alignment horizontal="justify" vertical="center"/>
    </xf>
    <xf numFmtId="0" fontId="64" fillId="0" borderId="76" xfId="0" applyFont="1" applyFill="1" applyBorder="1" applyAlignment="1">
      <alignment vertical="center" wrapText="1"/>
    </xf>
    <xf numFmtId="0" fontId="64" fillId="0" borderId="53" xfId="0" applyFont="1" applyFill="1" applyBorder="1" applyAlignment="1">
      <alignment vertical="center" wrapText="1"/>
    </xf>
    <xf numFmtId="0" fontId="4" fillId="0" borderId="57" xfId="0" applyFont="1" applyBorder="1" applyAlignment="1">
      <alignment vertical="center"/>
    </xf>
    <xf numFmtId="0" fontId="64" fillId="0" borderId="76" xfId="0" applyFont="1" applyBorder="1" applyAlignment="1">
      <alignment vertical="center" wrapText="1"/>
    </xf>
    <xf numFmtId="0" fontId="112" fillId="0" borderId="53" xfId="0" applyFont="1" applyBorder="1" applyAlignment="1">
      <alignment vertical="center" wrapText="1"/>
    </xf>
    <xf numFmtId="0" fontId="36" fillId="0" borderId="57" xfId="0" applyFont="1" applyBorder="1" applyAlignment="1">
      <alignment vertical="center" wrapText="1"/>
    </xf>
    <xf numFmtId="0" fontId="4" fillId="0" borderId="72" xfId="0" applyFont="1" applyBorder="1" applyAlignment="1">
      <alignment vertical="center"/>
    </xf>
    <xf numFmtId="0" fontId="4" fillId="0" borderId="32" xfId="0" applyFont="1" applyBorder="1" applyAlignment="1">
      <alignment vertical="center"/>
    </xf>
    <xf numFmtId="0" fontId="4" fillId="0" borderId="79" xfId="0" applyFont="1" applyFill="1" applyBorder="1" applyAlignment="1">
      <alignment vertical="center"/>
    </xf>
    <xf numFmtId="0" fontId="4" fillId="0" borderId="72" xfId="0" applyFont="1" applyFill="1" applyBorder="1" applyAlignment="1">
      <alignment vertical="center"/>
    </xf>
    <xf numFmtId="0" fontId="4" fillId="0" borderId="32" xfId="0" applyFont="1" applyFill="1" applyBorder="1" applyAlignment="1">
      <alignment vertical="center"/>
    </xf>
    <xf numFmtId="0" fontId="4" fillId="0" borderId="32" xfId="0" applyFont="1" applyFill="1" applyBorder="1" applyAlignment="1">
      <alignment vertical="center" wrapText="1"/>
    </xf>
    <xf numFmtId="0" fontId="64" fillId="0" borderId="72" xfId="0" applyFont="1" applyFill="1" applyBorder="1" applyAlignment="1">
      <alignment vertical="center"/>
    </xf>
    <xf numFmtId="0" fontId="64" fillId="0" borderId="32" xfId="0" applyFont="1" applyFill="1" applyBorder="1" applyAlignment="1">
      <alignment vertical="center"/>
    </xf>
    <xf numFmtId="0" fontId="4" fillId="0" borderId="79" xfId="0" applyFont="1" applyBorder="1" applyAlignment="1">
      <alignment vertical="center"/>
    </xf>
    <xf numFmtId="0" fontId="4" fillId="0" borderId="79" xfId="0" applyFont="1" applyFill="1" applyBorder="1" applyAlignment="1">
      <alignment vertical="center" wrapText="1"/>
    </xf>
    <xf numFmtId="0" fontId="4" fillId="0" borderId="72" xfId="0" applyFont="1" applyBorder="1" applyAlignment="1">
      <alignment vertical="center" wrapText="1"/>
    </xf>
    <xf numFmtId="0" fontId="4" fillId="0" borderId="79" xfId="0" applyFont="1" applyBorder="1" applyAlignment="1">
      <alignment vertical="center" wrapText="1"/>
    </xf>
    <xf numFmtId="0" fontId="4" fillId="0" borderId="32" xfId="0" applyFont="1" applyBorder="1" applyAlignment="1">
      <alignment vertical="center" wrapText="1"/>
    </xf>
    <xf numFmtId="0" fontId="64" fillId="0" borderId="72" xfId="0" applyFont="1" applyBorder="1" applyAlignment="1">
      <alignment vertical="center" wrapText="1"/>
    </xf>
    <xf numFmtId="0" fontId="112" fillId="0" borderId="32" xfId="0" applyFont="1" applyBorder="1" applyAlignment="1">
      <alignment vertical="center" wrapText="1"/>
    </xf>
    <xf numFmtId="0" fontId="36" fillId="0" borderId="79" xfId="0" applyFont="1" applyBorder="1" applyAlignment="1">
      <alignment vertical="center" wrapText="1"/>
    </xf>
    <xf numFmtId="0" fontId="4" fillId="3" borderId="72"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center" vertical="center" wrapText="1"/>
      <protection locked="0"/>
    </xf>
    <xf numFmtId="0" fontId="4" fillId="3" borderId="79" xfId="0" applyFont="1" applyFill="1" applyBorder="1" applyAlignment="1" applyProtection="1">
      <alignment horizontal="center" vertical="center" wrapText="1"/>
      <protection locked="0"/>
    </xf>
    <xf numFmtId="3" fontId="13" fillId="0" borderId="72" xfId="0" applyNumberFormat="1" applyFont="1" applyFill="1" applyBorder="1" applyAlignment="1">
      <alignment horizontal="center" vertical="center"/>
    </xf>
    <xf numFmtId="3" fontId="13" fillId="0" borderId="32" xfId="0" applyNumberFormat="1" applyFont="1" applyFill="1" applyBorder="1" applyAlignment="1">
      <alignment horizontal="center" vertical="center"/>
    </xf>
    <xf numFmtId="0" fontId="4" fillId="3" borderId="51"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21" xfId="0" applyFont="1" applyFill="1" applyBorder="1" applyAlignment="1" applyProtection="1">
      <alignment horizontal="center" vertical="center" wrapText="1"/>
      <protection locked="0"/>
    </xf>
    <xf numFmtId="3" fontId="13" fillId="0" borderId="51" xfId="0" applyNumberFormat="1" applyFont="1" applyFill="1" applyBorder="1" applyAlignment="1">
      <alignment horizontal="center" vertical="center"/>
    </xf>
    <xf numFmtId="0" fontId="52" fillId="21" borderId="0" xfId="52" applyFont="1" applyFill="1" applyBorder="1" applyAlignment="1"/>
    <xf numFmtId="3" fontId="34" fillId="32" borderId="7" xfId="49" applyNumberFormat="1" applyFont="1" applyFill="1" applyBorder="1" applyAlignment="1" applyProtection="1">
      <alignment horizontal="right"/>
      <protection locked="0"/>
    </xf>
    <xf numFmtId="0" fontId="61" fillId="30" borderId="0" xfId="32" applyFont="1" applyFill="1" applyBorder="1" applyAlignment="1">
      <alignment horizontal="center"/>
    </xf>
    <xf numFmtId="3" fontId="34" fillId="32" borderId="77" xfId="49" applyNumberFormat="1" applyFont="1" applyFill="1" applyBorder="1" applyAlignment="1" applyProtection="1">
      <alignment horizontal="right"/>
      <protection locked="0"/>
    </xf>
    <xf numFmtId="49" fontId="52" fillId="30" borderId="17" xfId="52" applyNumberFormat="1" applyFont="1" applyFill="1" applyBorder="1" applyAlignment="1" applyProtection="1">
      <alignment horizontal="center" vertical="center" wrapText="1"/>
    </xf>
    <xf numFmtId="49" fontId="89" fillId="30" borderId="17" xfId="52" applyNumberFormat="1" applyFont="1" applyFill="1" applyBorder="1" applyAlignment="1" applyProtection="1">
      <alignment horizontal="center" vertical="center" wrapText="1"/>
    </xf>
    <xf numFmtId="49" fontId="89" fillId="30" borderId="21" xfId="52" applyNumberFormat="1" applyFont="1" applyFill="1" applyBorder="1" applyAlignment="1" applyProtection="1">
      <alignment horizontal="center" vertical="center" wrapText="1"/>
    </xf>
    <xf numFmtId="49" fontId="61" fillId="30" borderId="21" xfId="52" applyNumberFormat="1" applyFont="1" applyFill="1" applyBorder="1" applyAlignment="1" applyProtection="1">
      <alignment horizontal="center" vertical="center" wrapText="1"/>
    </xf>
    <xf numFmtId="49" fontId="52" fillId="29" borderId="17" xfId="52" applyNumberFormat="1" applyFont="1" applyFill="1" applyBorder="1" applyAlignment="1" applyProtection="1">
      <alignment horizontal="center" vertical="center" wrapText="1"/>
    </xf>
    <xf numFmtId="49" fontId="52" fillId="29" borderId="21" xfId="52" applyNumberFormat="1" applyFont="1" applyFill="1" applyBorder="1" applyAlignment="1" applyProtection="1">
      <alignment horizontal="center" vertical="center" wrapText="1"/>
    </xf>
    <xf numFmtId="49" fontId="61" fillId="25" borderId="2" xfId="52" applyNumberFormat="1" applyFont="1" applyFill="1" applyBorder="1" applyAlignment="1" applyProtection="1">
      <alignment horizontal="center" vertical="center" wrapText="1"/>
    </xf>
    <xf numFmtId="0" fontId="52" fillId="30" borderId="51" xfId="40" quotePrefix="1" applyFont="1" applyFill="1" applyBorder="1" applyAlignment="1" applyProtection="1">
      <alignment horizontal="center" vertical="center" wrapText="1"/>
    </xf>
    <xf numFmtId="0" fontId="52" fillId="30" borderId="17" xfId="40" quotePrefix="1" applyFont="1" applyFill="1" applyBorder="1" applyAlignment="1" applyProtection="1">
      <alignment horizontal="center" vertical="center" wrapText="1"/>
    </xf>
    <xf numFmtId="49" fontId="52" fillId="30" borderId="17" xfId="40" applyNumberFormat="1" applyFont="1" applyFill="1" applyBorder="1" applyAlignment="1" applyProtection="1">
      <alignment horizontal="center" vertical="center" wrapText="1"/>
    </xf>
    <xf numFmtId="0" fontId="52" fillId="30" borderId="21" xfId="40" quotePrefix="1" applyFont="1" applyFill="1" applyBorder="1" applyAlignment="1" applyProtection="1">
      <alignment horizontal="center" vertical="center" wrapText="1"/>
    </xf>
    <xf numFmtId="0" fontId="61" fillId="25" borderId="2" xfId="40" applyFont="1" applyFill="1" applyBorder="1" applyAlignment="1" applyProtection="1">
      <alignment horizontal="center" vertical="center" wrapText="1"/>
    </xf>
    <xf numFmtId="49" fontId="52" fillId="30" borderId="51" xfId="40" quotePrefix="1" applyNumberFormat="1" applyFont="1" applyFill="1" applyBorder="1" applyAlignment="1" applyProtection="1">
      <alignment horizontal="center" vertical="center" wrapText="1"/>
    </xf>
    <xf numFmtId="49" fontId="52" fillId="30" borderId="17" xfId="40" quotePrefix="1" applyNumberFormat="1" applyFont="1" applyFill="1" applyBorder="1" applyAlignment="1" applyProtection="1">
      <alignment horizontal="center" vertical="center" wrapText="1"/>
    </xf>
    <xf numFmtId="49" fontId="52" fillId="30" borderId="21" xfId="40" applyNumberFormat="1" applyFont="1" applyFill="1" applyBorder="1" applyAlignment="1" applyProtection="1">
      <alignment horizontal="center" vertical="center" wrapText="1"/>
    </xf>
    <xf numFmtId="0" fontId="89" fillId="21" borderId="17" xfId="52" applyFont="1" applyFill="1" applyBorder="1" applyAlignment="1" applyProtection="1">
      <alignment horizontal="left" vertical="center"/>
    </xf>
    <xf numFmtId="0" fontId="89" fillId="21" borderId="21" xfId="52" applyFont="1" applyFill="1" applyBorder="1" applyAlignment="1" applyProtection="1">
      <alignment horizontal="left" vertical="center"/>
    </xf>
    <xf numFmtId="0" fontId="61" fillId="21" borderId="21" xfId="52" applyFont="1" applyFill="1" applyBorder="1" applyAlignment="1" applyProtection="1">
      <alignment horizontal="left" vertical="center" wrapText="1"/>
    </xf>
    <xf numFmtId="0" fontId="52" fillId="29" borderId="17" xfId="52" applyFont="1" applyFill="1" applyBorder="1" applyAlignment="1" applyProtection="1">
      <alignment horizontal="left" vertical="center"/>
    </xf>
    <xf numFmtId="0" fontId="52" fillId="29" borderId="21" xfId="52" applyFont="1" applyFill="1" applyBorder="1" applyAlignment="1" applyProtection="1">
      <alignment horizontal="left" vertical="center"/>
    </xf>
    <xf numFmtId="0" fontId="52" fillId="29" borderId="17" xfId="52" applyFont="1" applyFill="1" applyBorder="1" applyAlignment="1" applyProtection="1">
      <alignment horizontal="left" vertical="center" wrapText="1"/>
    </xf>
    <xf numFmtId="0" fontId="52" fillId="21" borderId="21" xfId="52" applyFont="1" applyFill="1" applyBorder="1" applyAlignment="1" applyProtection="1">
      <alignment horizontal="left" vertical="center"/>
    </xf>
    <xf numFmtId="0" fontId="61" fillId="25" borderId="2" xfId="52" applyFont="1" applyFill="1" applyBorder="1" applyAlignment="1" applyProtection="1">
      <alignment horizontal="left" vertical="center" indent="1"/>
    </xf>
    <xf numFmtId="0" fontId="34" fillId="30" borderId="7" xfId="0" applyFont="1" applyFill="1" applyBorder="1" applyAlignment="1" applyProtection="1">
      <alignment horizontal="center" vertical="center" wrapText="1"/>
    </xf>
    <xf numFmtId="0" fontId="34" fillId="30" borderId="7" xfId="0" applyFont="1" applyFill="1" applyBorder="1" applyAlignment="1" applyProtection="1">
      <alignment horizontal="left" vertical="center" wrapText="1"/>
    </xf>
    <xf numFmtId="0" fontId="4" fillId="0" borderId="44" xfId="0" applyFont="1" applyBorder="1" applyAlignment="1">
      <alignment vertical="center"/>
    </xf>
    <xf numFmtId="0" fontId="34" fillId="30" borderId="63" xfId="0" applyFont="1" applyFill="1" applyBorder="1" applyAlignment="1" applyProtection="1">
      <alignment horizontal="left" vertical="center" wrapText="1"/>
    </xf>
    <xf numFmtId="3" fontId="34" fillId="30" borderId="7" xfId="0" applyNumberFormat="1" applyFont="1" applyFill="1" applyBorder="1" applyAlignment="1">
      <alignment horizontal="center" vertical="center"/>
    </xf>
    <xf numFmtId="0" fontId="34" fillId="30" borderId="63" xfId="0" applyFont="1" applyFill="1" applyBorder="1" applyAlignment="1" applyProtection="1">
      <alignment horizontal="center" vertical="center" wrapText="1"/>
    </xf>
    <xf numFmtId="0" fontId="34" fillId="30" borderId="31" xfId="0" applyFont="1" applyFill="1" applyBorder="1" applyAlignment="1" applyProtection="1">
      <alignment horizontal="center" vertical="center" wrapText="1"/>
    </xf>
    <xf numFmtId="0" fontId="34" fillId="30" borderId="31" xfId="0" applyFont="1" applyFill="1" applyBorder="1" applyAlignment="1" applyProtection="1">
      <alignment horizontal="left" vertical="center" wrapText="1"/>
    </xf>
    <xf numFmtId="0" fontId="34" fillId="0" borderId="7" xfId="0" applyFont="1" applyFill="1" applyBorder="1" applyAlignment="1" applyProtection="1">
      <alignment horizontal="left" vertical="center" wrapText="1"/>
    </xf>
    <xf numFmtId="0" fontId="34" fillId="0" borderId="63" xfId="0" applyFont="1" applyFill="1" applyBorder="1" applyAlignment="1" applyProtection="1">
      <alignment horizontal="left" vertical="center" wrapText="1"/>
    </xf>
    <xf numFmtId="49" fontId="13" fillId="30" borderId="0" xfId="32" applyNumberFormat="1" applyFont="1" applyFill="1" applyBorder="1" applyAlignment="1" applyProtection="1">
      <alignment horizontal="left" vertical="center" wrapText="1"/>
      <protection locked="0"/>
    </xf>
    <xf numFmtId="0" fontId="34" fillId="29" borderId="0" xfId="0" applyFont="1" applyFill="1" applyBorder="1" applyAlignment="1">
      <alignment wrapText="1"/>
    </xf>
    <xf numFmtId="0" fontId="33" fillId="29" borderId="0" xfId="0" applyNumberFormat="1" applyFont="1" applyFill="1" applyBorder="1" applyAlignment="1">
      <alignment horizontal="right" wrapText="1"/>
    </xf>
    <xf numFmtId="49" fontId="34" fillId="29" borderId="0" xfId="0" applyNumberFormat="1" applyFont="1" applyFill="1" applyBorder="1" applyAlignment="1">
      <alignment horizontal="right" wrapText="1"/>
    </xf>
    <xf numFmtId="49" fontId="33" fillId="29" borderId="0" xfId="0" applyNumberFormat="1" applyFont="1" applyFill="1" applyBorder="1" applyAlignment="1">
      <alignment horizontal="right" wrapText="1"/>
    </xf>
    <xf numFmtId="0" fontId="34" fillId="30" borderId="0" xfId="32" applyFont="1" applyFill="1" applyBorder="1" applyAlignment="1">
      <alignment wrapText="1"/>
    </xf>
    <xf numFmtId="3" fontId="4" fillId="3" borderId="52" xfId="32" applyNumberFormat="1" applyFont="1" applyFill="1" applyBorder="1" applyAlignment="1" applyProtection="1">
      <alignment horizontal="center" vertical="center"/>
      <protection locked="0"/>
    </xf>
    <xf numFmtId="3" fontId="4" fillId="3" borderId="7" xfId="32" applyNumberFormat="1" applyFont="1" applyFill="1" applyBorder="1" applyAlignment="1" applyProtection="1">
      <alignment horizontal="center" vertical="center"/>
      <protection locked="0"/>
    </xf>
    <xf numFmtId="49" fontId="33" fillId="26" borderId="8" xfId="32" applyNumberFormat="1" applyFont="1" applyFill="1" applyBorder="1" applyAlignment="1">
      <alignment horizontal="left" vertical="center"/>
    </xf>
    <xf numFmtId="49" fontId="33" fillId="26" borderId="3" xfId="32" applyNumberFormat="1" applyFont="1" applyFill="1" applyBorder="1" applyAlignment="1">
      <alignment horizontal="left" vertical="center"/>
    </xf>
    <xf numFmtId="3" fontId="4" fillId="3" borderId="54" xfId="32" applyNumberFormat="1" applyFont="1" applyFill="1" applyBorder="1" applyAlignment="1" applyProtection="1">
      <alignment horizontal="center" vertical="center"/>
      <protection locked="0"/>
    </xf>
    <xf numFmtId="49" fontId="33" fillId="26" borderId="11" xfId="32" applyNumberFormat="1" applyFont="1" applyFill="1" applyBorder="1" applyAlignment="1">
      <alignment horizontal="left" vertical="center"/>
    </xf>
    <xf numFmtId="49" fontId="33" fillId="26" borderId="41" xfId="32" applyNumberFormat="1" applyFont="1" applyFill="1" applyBorder="1" applyAlignment="1">
      <alignment horizontal="left" vertical="center"/>
    </xf>
    <xf numFmtId="0" fontId="4" fillId="0" borderId="0" xfId="32" applyFont="1" applyFill="1"/>
    <xf numFmtId="0" fontId="4" fillId="29" borderId="0" xfId="0" applyFont="1" applyFill="1"/>
    <xf numFmtId="0" fontId="34" fillId="30" borderId="0" xfId="32" applyFont="1" applyFill="1" applyAlignment="1">
      <alignment horizontal="center"/>
    </xf>
    <xf numFmtId="3" fontId="4" fillId="3" borderId="53" xfId="32" applyNumberFormat="1" applyFont="1" applyFill="1" applyBorder="1" applyAlignment="1" applyProtection="1">
      <alignment horizontal="center" vertical="center"/>
      <protection locked="0"/>
    </xf>
    <xf numFmtId="3" fontId="4" fillId="3" borderId="63" xfId="32" applyNumberFormat="1" applyFont="1" applyFill="1" applyBorder="1" applyAlignment="1" applyProtection="1">
      <alignment horizontal="center" vertical="center"/>
      <protection locked="0"/>
    </xf>
    <xf numFmtId="3" fontId="4" fillId="29" borderId="0" xfId="32" applyNumberFormat="1" applyFont="1" applyFill="1" applyBorder="1" applyAlignment="1" applyProtection="1">
      <alignment horizontal="center" vertical="center"/>
      <protection locked="0"/>
    </xf>
    <xf numFmtId="0" fontId="4" fillId="29" borderId="0" xfId="32" applyFont="1" applyFill="1"/>
    <xf numFmtId="3" fontId="4" fillId="3" borderId="32" xfId="32" applyNumberFormat="1" applyFont="1" applyFill="1" applyBorder="1" applyAlignment="1" applyProtection="1">
      <alignment horizontal="center" vertical="center"/>
      <protection locked="0"/>
    </xf>
    <xf numFmtId="3" fontId="34" fillId="3" borderId="75" xfId="32" applyNumberFormat="1" applyFont="1" applyFill="1" applyBorder="1" applyAlignment="1" applyProtection="1">
      <alignment horizontal="center" vertical="center"/>
      <protection locked="0"/>
    </xf>
    <xf numFmtId="3" fontId="4" fillId="3" borderId="73" xfId="32" applyNumberFormat="1" applyFont="1" applyFill="1" applyBorder="1" applyAlignment="1" applyProtection="1">
      <alignment horizontal="center" vertical="center"/>
      <protection locked="0"/>
    </xf>
    <xf numFmtId="3" fontId="4" fillId="3" borderId="76" xfId="32" applyNumberFormat="1" applyFont="1" applyFill="1" applyBorder="1" applyAlignment="1" applyProtection="1">
      <alignment horizontal="center" vertical="center"/>
      <protection locked="0"/>
    </xf>
    <xf numFmtId="3" fontId="4" fillId="3" borderId="75" xfId="32" applyNumberFormat="1" applyFont="1" applyFill="1" applyBorder="1" applyAlignment="1" applyProtection="1">
      <alignment horizontal="center" vertical="center"/>
      <protection locked="0"/>
    </xf>
    <xf numFmtId="0" fontId="107" fillId="30" borderId="0" xfId="32" applyFont="1" applyFill="1"/>
    <xf numFmtId="0" fontId="46" fillId="29" borderId="0" xfId="0" applyFont="1" applyFill="1" applyBorder="1" applyAlignment="1">
      <alignment horizontal="right" vertical="center"/>
    </xf>
    <xf numFmtId="0" fontId="34" fillId="0" borderId="17" xfId="0" applyFont="1" applyFill="1" applyBorder="1" applyAlignment="1">
      <alignment horizontal="center" vertical="center"/>
    </xf>
    <xf numFmtId="9" fontId="34" fillId="30" borderId="17" xfId="1" applyFont="1" applyFill="1" applyBorder="1" applyAlignment="1">
      <alignment horizontal="center" vertical="center"/>
    </xf>
    <xf numFmtId="3" fontId="33" fillId="30" borderId="24" xfId="32" applyNumberFormat="1" applyFont="1" applyFill="1" applyBorder="1" applyAlignment="1">
      <alignment horizontal="center" vertical="center"/>
    </xf>
    <xf numFmtId="9" fontId="34" fillId="0" borderId="17" xfId="1" applyFont="1" applyFill="1" applyBorder="1" applyAlignment="1">
      <alignment horizontal="center" vertical="center"/>
    </xf>
    <xf numFmtId="3" fontId="34" fillId="30" borderId="17" xfId="32" applyNumberFormat="1" applyFont="1" applyFill="1" applyBorder="1" applyAlignment="1">
      <alignment horizontal="left" vertical="center" wrapText="1"/>
    </xf>
    <xf numFmtId="0" fontId="34" fillId="0" borderId="17" xfId="32" applyFont="1" applyFill="1" applyBorder="1" applyAlignment="1">
      <alignment horizontal="center" vertical="center"/>
    </xf>
    <xf numFmtId="0" fontId="34" fillId="30" borderId="17" xfId="32" applyFont="1" applyFill="1" applyBorder="1" applyAlignment="1">
      <alignment horizontal="center" vertical="center"/>
    </xf>
    <xf numFmtId="3" fontId="34" fillId="0" borderId="21" xfId="32" applyNumberFormat="1" applyFont="1" applyFill="1" applyBorder="1" applyAlignment="1">
      <alignment horizontal="center" vertical="center" wrapText="1"/>
    </xf>
    <xf numFmtId="0" fontId="35" fillId="30" borderId="0" xfId="32" applyFont="1" applyFill="1" applyAlignment="1">
      <alignment horizontal="left" vertical="center" wrapText="1"/>
    </xf>
    <xf numFmtId="3" fontId="34" fillId="30" borderId="0" xfId="32" applyNumberFormat="1" applyFont="1" applyFill="1" applyAlignment="1">
      <alignment horizontal="center"/>
    </xf>
    <xf numFmtId="0" fontId="34" fillId="30" borderId="0" xfId="32" applyFont="1" applyFill="1" applyBorder="1" applyAlignment="1">
      <alignment horizontal="center"/>
    </xf>
    <xf numFmtId="0" fontId="34" fillId="30" borderId="0" xfId="32" applyFont="1" applyFill="1" applyBorder="1" applyAlignment="1">
      <alignment horizontal="center" wrapText="1"/>
    </xf>
    <xf numFmtId="0" fontId="6" fillId="30" borderId="0" xfId="32" applyFont="1" applyFill="1"/>
    <xf numFmtId="0" fontId="114" fillId="30" borderId="0" xfId="32" applyFont="1" applyFill="1" applyBorder="1" applyAlignment="1">
      <alignment wrapText="1"/>
    </xf>
    <xf numFmtId="0" fontId="114" fillId="30" borderId="0" xfId="32" applyFont="1" applyFill="1" applyBorder="1" applyAlignment="1">
      <alignment horizontal="center" wrapText="1"/>
    </xf>
    <xf numFmtId="0" fontId="119" fillId="30" borderId="0" xfId="32" applyFont="1" applyFill="1"/>
    <xf numFmtId="3" fontId="34" fillId="30" borderId="53" xfId="32" applyNumberFormat="1" applyFont="1" applyFill="1" applyBorder="1" applyAlignment="1">
      <alignment horizontal="center"/>
    </xf>
    <xf numFmtId="3" fontId="34" fillId="30" borderId="0" xfId="32" applyNumberFormat="1" applyFont="1" applyFill="1" applyBorder="1" applyAlignment="1">
      <alignment horizontal="center"/>
    </xf>
    <xf numFmtId="3" fontId="34" fillId="30" borderId="7" xfId="32" applyNumberFormat="1" applyFont="1" applyFill="1" applyBorder="1" applyAlignment="1">
      <alignment horizontal="center"/>
    </xf>
    <xf numFmtId="3" fontId="34" fillId="30" borderId="63" xfId="32" applyNumberFormat="1" applyFont="1" applyFill="1" applyBorder="1" applyAlignment="1">
      <alignment horizontal="center"/>
    </xf>
    <xf numFmtId="9" fontId="34" fillId="30" borderId="73" xfId="1" applyFont="1" applyFill="1" applyBorder="1" applyAlignment="1">
      <alignment horizontal="center"/>
    </xf>
    <xf numFmtId="9" fontId="34" fillId="30" borderId="7" xfId="1" applyFont="1" applyFill="1" applyBorder="1" applyAlignment="1">
      <alignment horizontal="center"/>
    </xf>
    <xf numFmtId="9" fontId="34" fillId="30" borderId="77" xfId="1" applyFont="1" applyFill="1" applyBorder="1" applyAlignment="1">
      <alignment horizontal="center"/>
    </xf>
    <xf numFmtId="3" fontId="115" fillId="30" borderId="0" xfId="32" applyNumberFormat="1" applyFont="1" applyFill="1" applyBorder="1" applyAlignment="1">
      <alignment horizontal="right" vertical="center" wrapText="1"/>
    </xf>
    <xf numFmtId="3" fontId="115" fillId="30" borderId="0" xfId="32" applyNumberFormat="1" applyFont="1" applyFill="1" applyBorder="1" applyAlignment="1">
      <alignment horizontal="center" vertical="center" wrapText="1"/>
    </xf>
    <xf numFmtId="3" fontId="34" fillId="30" borderId="31" xfId="32" applyNumberFormat="1" applyFont="1" applyFill="1" applyBorder="1" applyAlignment="1">
      <alignment horizontal="center"/>
    </xf>
    <xf numFmtId="3" fontId="34" fillId="30" borderId="44" xfId="32" applyNumberFormat="1" applyFont="1" applyFill="1" applyBorder="1" applyAlignment="1">
      <alignment horizontal="center"/>
    </xf>
    <xf numFmtId="3" fontId="34" fillId="30" borderId="71" xfId="32" applyNumberFormat="1" applyFont="1" applyFill="1" applyBorder="1" applyAlignment="1">
      <alignment horizontal="center"/>
    </xf>
    <xf numFmtId="3" fontId="34" fillId="30" borderId="0" xfId="32" applyNumberFormat="1" applyFont="1" applyFill="1" applyAlignment="1">
      <alignment horizontal="center" vertical="center"/>
    </xf>
    <xf numFmtId="3" fontId="34" fillId="30" borderId="33" xfId="32" applyNumberFormat="1" applyFont="1" applyFill="1" applyBorder="1" applyAlignment="1">
      <alignment horizontal="center" vertical="center"/>
    </xf>
    <xf numFmtId="3" fontId="33" fillId="30" borderId="0" xfId="32" applyNumberFormat="1" applyFont="1" applyFill="1" applyBorder="1" applyAlignment="1">
      <alignment horizontal="right" vertical="center" wrapText="1"/>
    </xf>
    <xf numFmtId="3" fontId="33" fillId="30" borderId="0" xfId="32" applyNumberFormat="1" applyFont="1" applyFill="1" applyBorder="1" applyAlignment="1">
      <alignment horizontal="center" vertical="center" wrapText="1"/>
    </xf>
    <xf numFmtId="3" fontId="34" fillId="30" borderId="77" xfId="32" applyNumberFormat="1" applyFont="1" applyFill="1" applyBorder="1" applyAlignment="1">
      <alignment horizontal="center"/>
    </xf>
    <xf numFmtId="3" fontId="34" fillId="30" borderId="57" xfId="32" applyNumberFormat="1" applyFont="1" applyFill="1" applyBorder="1" applyAlignment="1">
      <alignment horizontal="center"/>
    </xf>
    <xf numFmtId="3" fontId="80" fillId="3" borderId="53" xfId="32" applyNumberFormat="1" applyFont="1" applyFill="1" applyBorder="1" applyAlignment="1">
      <alignment horizontal="center" vertical="center"/>
    </xf>
    <xf numFmtId="0" fontId="36" fillId="30" borderId="0" xfId="32" applyFont="1" applyFill="1" applyAlignment="1">
      <alignment horizontal="center"/>
    </xf>
    <xf numFmtId="3" fontId="35" fillId="30" borderId="0" xfId="32" applyNumberFormat="1" applyFont="1" applyFill="1" applyAlignment="1">
      <alignment horizontal="center"/>
    </xf>
    <xf numFmtId="3" fontId="35" fillId="30" borderId="52" xfId="32" applyNumberFormat="1" applyFont="1" applyFill="1" applyBorder="1" applyAlignment="1">
      <alignment horizontal="center"/>
    </xf>
    <xf numFmtId="3" fontId="35" fillId="30" borderId="49" xfId="32" applyNumberFormat="1" applyFont="1" applyFill="1" applyBorder="1" applyAlignment="1">
      <alignment horizontal="center"/>
    </xf>
    <xf numFmtId="3" fontId="35" fillId="30" borderId="47" xfId="32" applyNumberFormat="1" applyFont="1" applyFill="1" applyBorder="1" applyAlignment="1">
      <alignment horizontal="center"/>
    </xf>
    <xf numFmtId="3" fontId="35" fillId="30" borderId="0" xfId="32" applyNumberFormat="1" applyFont="1" applyFill="1" applyAlignment="1">
      <alignment horizontal="center" vertical="center"/>
    </xf>
    <xf numFmtId="3" fontId="35" fillId="30" borderId="56" xfId="32" applyNumberFormat="1" applyFont="1" applyFill="1" applyBorder="1" applyAlignment="1">
      <alignment horizontal="center"/>
    </xf>
    <xf numFmtId="3" fontId="36" fillId="30" borderId="0" xfId="32" applyNumberFormat="1" applyFont="1" applyFill="1" applyAlignment="1">
      <alignment horizontal="center"/>
    </xf>
    <xf numFmtId="3" fontId="120" fillId="30" borderId="0" xfId="32" applyNumberFormat="1" applyFont="1" applyFill="1" applyAlignment="1">
      <alignment horizontal="center"/>
    </xf>
    <xf numFmtId="0" fontId="35" fillId="29" borderId="0" xfId="0" applyFont="1" applyFill="1" applyBorder="1"/>
    <xf numFmtId="0" fontId="30" fillId="29" borderId="0" xfId="0" applyFont="1" applyFill="1"/>
    <xf numFmtId="0" fontId="35" fillId="30" borderId="0" xfId="32" applyFont="1" applyFill="1" applyBorder="1" applyAlignment="1">
      <alignment horizontal="center"/>
    </xf>
    <xf numFmtId="3" fontId="35" fillId="30" borderId="7" xfId="32" applyNumberFormat="1" applyFont="1" applyFill="1" applyBorder="1" applyAlignment="1">
      <alignment horizontal="center"/>
    </xf>
    <xf numFmtId="3" fontId="35" fillId="30" borderId="31" xfId="32" applyNumberFormat="1" applyFont="1" applyFill="1" applyBorder="1" applyAlignment="1">
      <alignment horizontal="center"/>
    </xf>
    <xf numFmtId="3" fontId="35" fillId="30" borderId="71" xfId="32" applyNumberFormat="1" applyFont="1" applyFill="1" applyBorder="1" applyAlignment="1">
      <alignment horizontal="center"/>
    </xf>
    <xf numFmtId="3" fontId="35" fillId="30" borderId="77" xfId="32" applyNumberFormat="1" applyFont="1" applyFill="1" applyBorder="1" applyAlignment="1">
      <alignment horizontal="center"/>
    </xf>
    <xf numFmtId="0" fontId="36" fillId="30" borderId="0" xfId="32" applyFont="1" applyFill="1" applyBorder="1" applyAlignment="1">
      <alignment horizontal="center"/>
    </xf>
    <xf numFmtId="0" fontId="30" fillId="29" borderId="0" xfId="0" applyFont="1" applyFill="1" applyAlignment="1">
      <alignment horizontal="center"/>
    </xf>
    <xf numFmtId="0" fontId="35" fillId="30" borderId="0" xfId="0" applyFont="1" applyFill="1" applyAlignment="1">
      <alignment horizontal="center"/>
    </xf>
    <xf numFmtId="0" fontId="39" fillId="30" borderId="0" xfId="0" applyFont="1" applyFill="1" applyAlignment="1">
      <alignment horizontal="center"/>
    </xf>
    <xf numFmtId="3" fontId="35" fillId="30" borderId="0" xfId="32" applyNumberFormat="1" applyFont="1" applyFill="1" applyBorder="1" applyAlignment="1">
      <alignment horizontal="center"/>
    </xf>
    <xf numFmtId="3" fontId="39" fillId="40" borderId="38" xfId="32" applyNumberFormat="1" applyFont="1" applyFill="1" applyBorder="1" applyAlignment="1">
      <alignment horizontal="center" vertical="center"/>
    </xf>
    <xf numFmtId="3" fontId="33" fillId="40" borderId="9" xfId="32" applyNumberFormat="1" applyFont="1" applyFill="1" applyBorder="1" applyAlignment="1">
      <alignment horizontal="center" vertical="center"/>
    </xf>
    <xf numFmtId="3" fontId="33" fillId="40" borderId="10" xfId="32" applyNumberFormat="1" applyFont="1" applyFill="1" applyBorder="1" applyAlignment="1">
      <alignment horizontal="center" vertical="center"/>
    </xf>
    <xf numFmtId="1" fontId="39" fillId="40" borderId="38" xfId="32" applyNumberFormat="1" applyFont="1" applyFill="1" applyBorder="1" applyAlignment="1">
      <alignment horizontal="center" vertical="center" wrapText="1"/>
    </xf>
    <xf numFmtId="1" fontId="39" fillId="40" borderId="10" xfId="32" applyNumberFormat="1" applyFont="1" applyFill="1" applyBorder="1" applyAlignment="1">
      <alignment horizontal="center" vertical="center" wrapText="1"/>
    </xf>
    <xf numFmtId="1" fontId="33" fillId="40" borderId="65" xfId="32" applyNumberFormat="1" applyFont="1" applyFill="1" applyBorder="1" applyAlignment="1">
      <alignment horizontal="center" vertical="center" wrapText="1"/>
    </xf>
    <xf numFmtId="1" fontId="33" fillId="40" borderId="9" xfId="32" applyNumberFormat="1" applyFont="1" applyFill="1" applyBorder="1" applyAlignment="1">
      <alignment horizontal="center" vertical="center" wrapText="1"/>
    </xf>
    <xf numFmtId="1" fontId="33" fillId="40" borderId="60" xfId="32" applyNumberFormat="1" applyFont="1" applyFill="1" applyBorder="1" applyAlignment="1">
      <alignment horizontal="center" vertical="center" wrapText="1"/>
    </xf>
    <xf numFmtId="0" fontId="76" fillId="40" borderId="56" xfId="32" applyFont="1" applyFill="1" applyBorder="1" applyAlignment="1">
      <alignment horizontal="center" vertical="center" wrapText="1"/>
    </xf>
    <xf numFmtId="0" fontId="76" fillId="40" borderId="77" xfId="32" applyFont="1" applyFill="1" applyBorder="1" applyAlignment="1">
      <alignment horizontal="center" vertical="center" wrapText="1"/>
    </xf>
    <xf numFmtId="0" fontId="76" fillId="40" borderId="57" xfId="32" applyFont="1" applyFill="1" applyBorder="1" applyAlignment="1">
      <alignment horizontal="center" vertical="center" wrapText="1"/>
    </xf>
    <xf numFmtId="0" fontId="33" fillId="40" borderId="79" xfId="32" applyFont="1" applyFill="1" applyBorder="1" applyAlignment="1">
      <alignment horizontal="center" vertical="center"/>
    </xf>
    <xf numFmtId="0" fontId="33" fillId="40" borderId="77" xfId="32" applyFont="1" applyFill="1" applyBorder="1" applyAlignment="1">
      <alignment horizontal="center" vertical="center"/>
    </xf>
    <xf numFmtId="0" fontId="33" fillId="40" borderId="57" xfId="32" applyFont="1" applyFill="1" applyBorder="1" applyAlignment="1">
      <alignment horizontal="center" vertical="center"/>
    </xf>
    <xf numFmtId="3" fontId="34" fillId="30" borderId="62" xfId="32" applyNumberFormat="1" applyFont="1" applyFill="1" applyBorder="1" applyAlignment="1">
      <alignment horizontal="center"/>
    </xf>
    <xf numFmtId="3" fontId="34" fillId="30" borderId="64" xfId="32" applyNumberFormat="1" applyFont="1" applyFill="1" applyBorder="1" applyAlignment="1">
      <alignment horizontal="center"/>
    </xf>
    <xf numFmtId="9" fontId="34" fillId="30" borderId="74" xfId="1" applyFont="1" applyFill="1" applyBorder="1" applyAlignment="1">
      <alignment horizontal="center"/>
    </xf>
    <xf numFmtId="9" fontId="34" fillId="30" borderId="62" xfId="1" applyFont="1" applyFill="1" applyBorder="1" applyAlignment="1">
      <alignment horizontal="center"/>
    </xf>
    <xf numFmtId="9" fontId="34" fillId="30" borderId="78" xfId="1" applyFont="1" applyFill="1" applyBorder="1" applyAlignment="1">
      <alignment horizontal="center"/>
    </xf>
    <xf numFmtId="9" fontId="34" fillId="30" borderId="5" xfId="49" applyNumberFormat="1" applyFont="1" applyFill="1" applyBorder="1" applyAlignment="1">
      <alignment horizontal="center" vertical="center"/>
    </xf>
    <xf numFmtId="3" fontId="34" fillId="30" borderId="75" xfId="49" applyNumberFormat="1" applyFont="1" applyFill="1" applyBorder="1" applyAlignment="1">
      <alignment horizontal="center" vertical="center" wrapText="1"/>
    </xf>
    <xf numFmtId="3" fontId="34" fillId="30" borderId="73" xfId="49" applyNumberFormat="1" applyFont="1" applyFill="1" applyBorder="1" applyAlignment="1">
      <alignment horizontal="center" vertical="center" wrapText="1"/>
    </xf>
    <xf numFmtId="3" fontId="34" fillId="30" borderId="76" xfId="49" applyNumberFormat="1" applyFont="1" applyFill="1" applyBorder="1" applyAlignment="1">
      <alignment horizontal="center" vertical="center" wrapText="1"/>
    </xf>
    <xf numFmtId="3" fontId="34" fillId="30" borderId="52" xfId="49" applyNumberFormat="1" applyFont="1" applyFill="1" applyBorder="1" applyAlignment="1">
      <alignment horizontal="center" vertical="center" wrapText="1"/>
    </xf>
    <xf numFmtId="3" fontId="34" fillId="30" borderId="7" xfId="49" applyNumberFormat="1" applyFont="1" applyFill="1" applyBorder="1" applyAlignment="1">
      <alignment horizontal="center" vertical="center" wrapText="1"/>
    </xf>
    <xf numFmtId="3" fontId="34" fillId="30" borderId="53" xfId="49" applyNumberFormat="1" applyFont="1" applyFill="1" applyBorder="1" applyAlignment="1">
      <alignment horizontal="center" vertical="center" wrapText="1"/>
    </xf>
    <xf numFmtId="3" fontId="33" fillId="30" borderId="17" xfId="49" applyNumberFormat="1" applyFont="1" applyFill="1" applyBorder="1" applyAlignment="1">
      <alignment horizontal="center" vertical="center"/>
    </xf>
    <xf numFmtId="3" fontId="33" fillId="30" borderId="52" xfId="49" applyNumberFormat="1" applyFont="1" applyFill="1" applyBorder="1" applyAlignment="1">
      <alignment horizontal="center" vertical="center"/>
    </xf>
    <xf numFmtId="3" fontId="33" fillId="30" borderId="7" xfId="49" applyNumberFormat="1" applyFont="1" applyFill="1" applyBorder="1" applyAlignment="1">
      <alignment horizontal="center" vertical="center"/>
    </xf>
    <xf numFmtId="3" fontId="33" fillId="30" borderId="53" xfId="49" applyNumberFormat="1" applyFont="1" applyFill="1" applyBorder="1" applyAlignment="1">
      <alignment horizontal="center" vertical="center"/>
    </xf>
    <xf numFmtId="3" fontId="33" fillId="30" borderId="32" xfId="49" applyNumberFormat="1" applyFont="1" applyFill="1" applyBorder="1" applyAlignment="1">
      <alignment horizontal="center" vertical="center"/>
    </xf>
    <xf numFmtId="3" fontId="33" fillId="21" borderId="32" xfId="49" applyNumberFormat="1" applyFont="1" applyFill="1" applyBorder="1" applyAlignment="1">
      <alignment horizontal="center" vertical="center"/>
    </xf>
    <xf numFmtId="3" fontId="33" fillId="21" borderId="7" xfId="49" applyNumberFormat="1" applyFont="1" applyFill="1" applyBorder="1" applyAlignment="1">
      <alignment horizontal="center" vertical="center"/>
    </xf>
    <xf numFmtId="3" fontId="33" fillId="21" borderId="53" xfId="49" applyNumberFormat="1" applyFont="1" applyFill="1" applyBorder="1" applyAlignment="1">
      <alignment horizontal="center" vertical="center"/>
    </xf>
    <xf numFmtId="0" fontId="34" fillId="30" borderId="24" xfId="49" applyFont="1" applyFill="1" applyBorder="1" applyAlignment="1">
      <alignment horizontal="center" vertical="center"/>
    </xf>
    <xf numFmtId="3" fontId="34" fillId="0" borderId="52" xfId="49" applyNumberFormat="1" applyFont="1" applyFill="1" applyBorder="1" applyAlignment="1">
      <alignment horizontal="center" vertical="center" wrapText="1"/>
    </xf>
    <xf numFmtId="3" fontId="34" fillId="0" borderId="7" xfId="49" applyNumberFormat="1" applyFont="1" applyFill="1" applyBorder="1" applyAlignment="1">
      <alignment horizontal="center" vertical="center" wrapText="1"/>
    </xf>
    <xf numFmtId="3" fontId="34" fillId="0" borderId="53" xfId="49" applyNumberFormat="1" applyFont="1" applyFill="1" applyBorder="1" applyAlignment="1">
      <alignment horizontal="center" vertical="center" wrapText="1"/>
    </xf>
    <xf numFmtId="3" fontId="34" fillId="0" borderId="75" xfId="49" applyNumberFormat="1" applyFont="1" applyFill="1" applyBorder="1" applyAlignment="1">
      <alignment horizontal="center" vertical="center" wrapText="1"/>
    </xf>
    <xf numFmtId="3" fontId="34" fillId="0" borderId="73" xfId="49" applyNumberFormat="1" applyFont="1" applyFill="1" applyBorder="1" applyAlignment="1">
      <alignment horizontal="center" vertical="center" wrapText="1"/>
    </xf>
    <xf numFmtId="3" fontId="34" fillId="0" borderId="76" xfId="49" applyNumberFormat="1" applyFont="1" applyFill="1" applyBorder="1" applyAlignment="1">
      <alignment horizontal="center" vertical="center" wrapText="1"/>
    </xf>
    <xf numFmtId="3" fontId="34" fillId="0" borderId="56" xfId="49" applyNumberFormat="1" applyFont="1" applyFill="1" applyBorder="1" applyAlignment="1">
      <alignment horizontal="center" vertical="center" wrapText="1"/>
    </xf>
    <xf numFmtId="3" fontId="34" fillId="0" borderId="77" xfId="49" applyNumberFormat="1" applyFont="1" applyFill="1" applyBorder="1" applyAlignment="1">
      <alignment horizontal="center" vertical="center" wrapText="1"/>
    </xf>
    <xf numFmtId="3" fontId="34" fillId="0" borderId="57" xfId="49" applyNumberFormat="1" applyFont="1" applyFill="1" applyBorder="1" applyAlignment="1">
      <alignment horizontal="center" vertical="center" wrapText="1"/>
    </xf>
    <xf numFmtId="0" fontId="33" fillId="29" borderId="5" xfId="32" applyFont="1" applyFill="1" applyBorder="1" applyAlignment="1">
      <alignment horizontal="left" vertical="center"/>
    </xf>
    <xf numFmtId="0" fontId="33" fillId="29" borderId="5" xfId="32" applyFont="1" applyFill="1" applyBorder="1" applyAlignment="1">
      <alignment horizontal="center" vertical="center"/>
    </xf>
    <xf numFmtId="3" fontId="60" fillId="29" borderId="15" xfId="32" applyNumberFormat="1" applyFont="1" applyFill="1" applyBorder="1" applyAlignment="1">
      <alignment horizontal="center" vertical="center"/>
    </xf>
    <xf numFmtId="3" fontId="33" fillId="34" borderId="73" xfId="32" applyNumberFormat="1" applyFont="1" applyFill="1" applyBorder="1" applyAlignment="1">
      <alignment horizontal="center" vertical="center"/>
    </xf>
    <xf numFmtId="3" fontId="34" fillId="29" borderId="0" xfId="32" applyNumberFormat="1" applyFont="1" applyFill="1" applyBorder="1" applyAlignment="1">
      <alignment horizontal="center"/>
    </xf>
    <xf numFmtId="3" fontId="33" fillId="34" borderId="73" xfId="0" applyNumberFormat="1" applyFont="1" applyFill="1" applyBorder="1" applyAlignment="1">
      <alignment horizontal="center" vertical="center"/>
    </xf>
    <xf numFmtId="3" fontId="33" fillId="34" borderId="76" xfId="0" applyNumberFormat="1" applyFont="1" applyFill="1" applyBorder="1" applyAlignment="1">
      <alignment horizontal="center" vertical="center"/>
    </xf>
    <xf numFmtId="3" fontId="33" fillId="34" borderId="74" xfId="0" applyNumberFormat="1" applyFont="1" applyFill="1" applyBorder="1" applyAlignment="1">
      <alignment horizontal="center" vertical="center"/>
    </xf>
    <xf numFmtId="3" fontId="33" fillId="34" borderId="74" xfId="32" applyNumberFormat="1" applyFont="1" applyFill="1" applyBorder="1" applyAlignment="1">
      <alignment horizontal="center" vertical="center"/>
    </xf>
    <xf numFmtId="3" fontId="80" fillId="34" borderId="51" xfId="32" applyNumberFormat="1" applyFont="1" applyFill="1" applyBorder="1" applyAlignment="1">
      <alignment horizontal="center" vertical="center"/>
    </xf>
    <xf numFmtId="3" fontId="80" fillId="29" borderId="17" xfId="32" applyNumberFormat="1" applyFont="1" applyFill="1" applyBorder="1" applyAlignment="1">
      <alignment horizontal="center" vertical="center"/>
    </xf>
    <xf numFmtId="3" fontId="80" fillId="29" borderId="21" xfId="32" applyNumberFormat="1" applyFont="1" applyFill="1" applyBorder="1" applyAlignment="1">
      <alignment horizontal="center" vertical="center"/>
    </xf>
    <xf numFmtId="3" fontId="80" fillId="29" borderId="51" xfId="32" applyNumberFormat="1" applyFont="1" applyFill="1" applyBorder="1" applyAlignment="1">
      <alignment horizontal="center" vertical="center"/>
    </xf>
    <xf numFmtId="3" fontId="80" fillId="29" borderId="39" xfId="32" applyNumberFormat="1" applyFont="1" applyFill="1" applyBorder="1" applyAlignment="1">
      <alignment horizontal="center" vertical="center"/>
    </xf>
    <xf numFmtId="167" fontId="33" fillId="34" borderId="1" xfId="49" applyNumberFormat="1" applyFont="1" applyFill="1" applyBorder="1" applyAlignment="1">
      <alignment horizontal="center" wrapText="1"/>
    </xf>
    <xf numFmtId="3" fontId="33" fillId="34" borderId="38" xfId="49" applyNumberFormat="1" applyFont="1" applyFill="1" applyBorder="1" applyAlignment="1">
      <alignment horizontal="center" wrapText="1"/>
    </xf>
    <xf numFmtId="0" fontId="33" fillId="30" borderId="5" xfId="49" applyFont="1" applyFill="1" applyBorder="1" applyAlignment="1">
      <alignment horizontal="center" vertical="center"/>
    </xf>
    <xf numFmtId="9" fontId="33" fillId="30" borderId="5" xfId="49" applyNumberFormat="1" applyFont="1" applyFill="1" applyBorder="1" applyAlignment="1">
      <alignment horizontal="center" vertical="center"/>
    </xf>
    <xf numFmtId="0" fontId="33" fillId="30" borderId="5" xfId="49" applyFont="1" applyFill="1" applyBorder="1" applyAlignment="1">
      <alignment wrapText="1"/>
    </xf>
    <xf numFmtId="0" fontId="33" fillId="0" borderId="25" xfId="49" applyFont="1" applyFill="1" applyBorder="1" applyAlignment="1">
      <alignment horizontal="center" vertical="center" wrapText="1"/>
    </xf>
    <xf numFmtId="3" fontId="33" fillId="30" borderId="75" xfId="49" applyNumberFormat="1" applyFont="1" applyFill="1" applyBorder="1" applyAlignment="1">
      <alignment horizontal="center" vertical="center" wrapText="1"/>
    </xf>
    <xf numFmtId="3" fontId="33" fillId="30" borderId="73" xfId="49" applyNumberFormat="1" applyFont="1" applyFill="1" applyBorder="1" applyAlignment="1">
      <alignment horizontal="center" vertical="center" wrapText="1"/>
    </xf>
    <xf numFmtId="3" fontId="33" fillId="30" borderId="76" xfId="49" applyNumberFormat="1" applyFont="1" applyFill="1" applyBorder="1" applyAlignment="1">
      <alignment horizontal="center" vertical="center" wrapText="1"/>
    </xf>
    <xf numFmtId="0" fontId="34" fillId="0" borderId="25" xfId="49" applyFont="1" applyFill="1" applyBorder="1" applyAlignment="1">
      <alignment horizontal="center" vertical="center" wrapText="1"/>
    </xf>
    <xf numFmtId="3" fontId="34" fillId="0" borderId="5" xfId="49" applyNumberFormat="1" applyFont="1" applyFill="1" applyBorder="1" applyAlignment="1">
      <alignment horizontal="center" vertical="center" wrapText="1"/>
    </xf>
    <xf numFmtId="3" fontId="34" fillId="30" borderId="44" xfId="49" applyNumberFormat="1" applyFont="1" applyFill="1" applyBorder="1" applyAlignment="1">
      <alignment horizontal="center" vertical="center" wrapText="1"/>
    </xf>
    <xf numFmtId="3" fontId="34" fillId="30" borderId="32" xfId="49" applyNumberFormat="1" applyFont="1" applyFill="1" applyBorder="1" applyAlignment="1">
      <alignment horizontal="center" vertical="center" wrapText="1"/>
    </xf>
    <xf numFmtId="3" fontId="34" fillId="30" borderId="15" xfId="49" applyNumberFormat="1" applyFont="1" applyFill="1" applyBorder="1" applyAlignment="1">
      <alignment horizontal="center" vertical="center" wrapText="1"/>
    </xf>
    <xf numFmtId="3" fontId="34" fillId="30" borderId="49" xfId="49" applyNumberFormat="1" applyFont="1" applyFill="1" applyBorder="1" applyAlignment="1">
      <alignment horizontal="center" vertical="center" wrapText="1"/>
    </xf>
    <xf numFmtId="3" fontId="34" fillId="30" borderId="31" xfId="49" applyNumberFormat="1" applyFont="1" applyFill="1" applyBorder="1" applyAlignment="1">
      <alignment horizontal="center" vertical="center" wrapText="1"/>
    </xf>
    <xf numFmtId="3" fontId="34" fillId="30" borderId="50" xfId="49" applyNumberFormat="1" applyFont="1" applyFill="1" applyBorder="1" applyAlignment="1">
      <alignment horizontal="center" vertical="center" wrapText="1"/>
    </xf>
    <xf numFmtId="3" fontId="34" fillId="30" borderId="6" xfId="49" applyNumberFormat="1" applyFont="1" applyFill="1" applyBorder="1" applyAlignment="1">
      <alignment horizontal="center" vertical="center" wrapText="1"/>
    </xf>
    <xf numFmtId="0" fontId="33" fillId="30" borderId="17" xfId="49" applyFont="1" applyFill="1" applyBorder="1" applyAlignment="1">
      <alignment horizontal="center" vertical="center"/>
    </xf>
    <xf numFmtId="9" fontId="33" fillId="30" borderId="17" xfId="49" applyNumberFormat="1" applyFont="1" applyFill="1" applyBorder="1" applyAlignment="1">
      <alignment horizontal="center" vertical="center"/>
    </xf>
    <xf numFmtId="0" fontId="33" fillId="30" borderId="17" xfId="49" applyFont="1" applyFill="1" applyBorder="1" applyAlignment="1">
      <alignment wrapText="1"/>
    </xf>
    <xf numFmtId="0" fontId="33" fillId="30" borderId="24" xfId="49" applyFont="1" applyFill="1" applyBorder="1" applyAlignment="1">
      <alignment horizontal="center" vertical="center"/>
    </xf>
    <xf numFmtId="0" fontId="33" fillId="30" borderId="17" xfId="49" applyFont="1" applyFill="1" applyBorder="1" applyAlignment="1">
      <alignment horizontal="center"/>
    </xf>
    <xf numFmtId="49" fontId="33" fillId="30" borderId="17" xfId="49" applyNumberFormat="1" applyFont="1" applyFill="1" applyBorder="1" applyAlignment="1">
      <alignment wrapText="1"/>
    </xf>
    <xf numFmtId="167" fontId="33" fillId="30" borderId="24" xfId="49" applyNumberFormat="1" applyFont="1" applyFill="1" applyBorder="1" applyAlignment="1">
      <alignment horizontal="center" vertical="center"/>
    </xf>
    <xf numFmtId="167" fontId="34" fillId="36" borderId="24" xfId="49" applyNumberFormat="1" applyFont="1" applyFill="1" applyBorder="1" applyAlignment="1">
      <alignment horizontal="center" vertical="center"/>
    </xf>
    <xf numFmtId="3" fontId="34" fillId="36" borderId="52" xfId="49" applyNumberFormat="1" applyFont="1" applyFill="1" applyBorder="1" applyAlignment="1">
      <alignment horizontal="center" vertical="center"/>
    </xf>
    <xf numFmtId="3" fontId="34" fillId="36" borderId="7" xfId="49" applyNumberFormat="1" applyFont="1" applyFill="1" applyBorder="1" applyAlignment="1">
      <alignment horizontal="center" vertical="center"/>
    </xf>
    <xf numFmtId="3" fontId="34" fillId="36" borderId="53" xfId="49" applyNumberFormat="1" applyFont="1" applyFill="1" applyBorder="1" applyAlignment="1">
      <alignment horizontal="center" vertical="center"/>
    </xf>
    <xf numFmtId="3" fontId="34" fillId="36" borderId="17" xfId="49" applyNumberFormat="1" applyFont="1" applyFill="1" applyBorder="1" applyAlignment="1">
      <alignment horizontal="center" vertical="center"/>
    </xf>
    <xf numFmtId="3" fontId="34" fillId="36" borderId="32" xfId="49" applyNumberFormat="1" applyFont="1" applyFill="1" applyBorder="1" applyAlignment="1">
      <alignment horizontal="center" vertical="center"/>
    </xf>
    <xf numFmtId="0" fontId="35" fillId="30" borderId="17" xfId="49" applyFont="1" applyFill="1" applyBorder="1" applyAlignment="1">
      <alignment horizontal="center" vertical="center"/>
    </xf>
    <xf numFmtId="9" fontId="35" fillId="30" borderId="17" xfId="50" applyFont="1" applyFill="1" applyBorder="1" applyAlignment="1">
      <alignment horizontal="center" vertical="center"/>
    </xf>
    <xf numFmtId="9" fontId="35" fillId="30" borderId="17" xfId="49" applyNumberFormat="1" applyFont="1" applyFill="1" applyBorder="1" applyAlignment="1">
      <alignment horizontal="center" vertical="center"/>
    </xf>
    <xf numFmtId="167" fontId="33" fillId="21" borderId="24" xfId="49" applyNumberFormat="1" applyFont="1" applyFill="1" applyBorder="1" applyAlignment="1">
      <alignment horizontal="center" vertical="center"/>
    </xf>
    <xf numFmtId="3" fontId="33" fillId="21" borderId="52" xfId="49" applyNumberFormat="1" applyFont="1" applyFill="1" applyBorder="1" applyAlignment="1">
      <alignment horizontal="center" vertical="center"/>
    </xf>
    <xf numFmtId="3" fontId="33" fillId="21" borderId="17" xfId="49" applyNumberFormat="1" applyFont="1" applyFill="1" applyBorder="1" applyAlignment="1">
      <alignment horizontal="center" vertical="center"/>
    </xf>
    <xf numFmtId="3" fontId="33" fillId="30" borderId="52" xfId="49" applyNumberFormat="1" applyFont="1" applyFill="1" applyBorder="1" applyAlignment="1">
      <alignment horizontal="center" vertical="center" wrapText="1"/>
    </xf>
    <xf numFmtId="3" fontId="33" fillId="30" borderId="7" xfId="49" applyNumberFormat="1" applyFont="1" applyFill="1" applyBorder="1" applyAlignment="1">
      <alignment horizontal="center" vertical="center" wrapText="1"/>
    </xf>
    <xf numFmtId="3" fontId="33" fillId="30" borderId="62" xfId="49" applyNumberFormat="1" applyFont="1" applyFill="1" applyBorder="1" applyAlignment="1">
      <alignment horizontal="center" vertical="center" wrapText="1"/>
    </xf>
    <xf numFmtId="3" fontId="34" fillId="0" borderId="17" xfId="49" applyNumberFormat="1" applyFont="1" applyFill="1" applyBorder="1" applyAlignment="1">
      <alignment horizontal="center" vertical="center" wrapText="1"/>
    </xf>
    <xf numFmtId="3" fontId="33" fillId="30" borderId="53" xfId="49" applyNumberFormat="1" applyFont="1" applyFill="1" applyBorder="1" applyAlignment="1">
      <alignment horizontal="center" vertical="center" wrapText="1"/>
    </xf>
    <xf numFmtId="3" fontId="33" fillId="30" borderId="32" xfId="49" applyNumberFormat="1" applyFont="1" applyFill="1" applyBorder="1" applyAlignment="1">
      <alignment horizontal="center" vertical="center" wrapText="1"/>
    </xf>
    <xf numFmtId="0" fontId="33" fillId="0" borderId="24" xfId="49" applyFont="1" applyFill="1" applyBorder="1" applyAlignment="1">
      <alignment horizontal="center" vertical="center"/>
    </xf>
    <xf numFmtId="0" fontId="33" fillId="30" borderId="36" xfId="49" applyFont="1" applyFill="1" applyBorder="1" applyAlignment="1">
      <alignment horizontal="center" vertical="center"/>
    </xf>
    <xf numFmtId="3" fontId="33" fillId="30" borderId="56" xfId="49" applyNumberFormat="1" applyFont="1" applyFill="1" applyBorder="1" applyAlignment="1">
      <alignment horizontal="center" vertical="center" wrapText="1"/>
    </xf>
    <xf numFmtId="3" fontId="33" fillId="30" borderId="77" xfId="49" applyNumberFormat="1" applyFont="1" applyFill="1" applyBorder="1" applyAlignment="1">
      <alignment horizontal="center" vertical="center" wrapText="1"/>
    </xf>
    <xf numFmtId="3" fontId="33" fillId="30" borderId="78" xfId="49" applyNumberFormat="1" applyFont="1" applyFill="1" applyBorder="1" applyAlignment="1">
      <alignment horizontal="center" vertical="center" wrapText="1"/>
    </xf>
    <xf numFmtId="3" fontId="34" fillId="0" borderId="34" xfId="49" applyNumberFormat="1" applyFont="1" applyFill="1" applyBorder="1" applyAlignment="1">
      <alignment horizontal="center" vertical="center" wrapText="1"/>
    </xf>
    <xf numFmtId="3" fontId="33" fillId="30" borderId="57" xfId="49" applyNumberFormat="1" applyFont="1" applyFill="1" applyBorder="1" applyAlignment="1">
      <alignment horizontal="center" vertical="center" wrapText="1"/>
    </xf>
    <xf numFmtId="3" fontId="33" fillId="30" borderId="79" xfId="49" applyNumberFormat="1" applyFont="1" applyFill="1" applyBorder="1" applyAlignment="1">
      <alignment horizontal="center" vertical="center" wrapText="1"/>
    </xf>
    <xf numFmtId="3" fontId="33" fillId="34" borderId="60" xfId="49" applyNumberFormat="1" applyFont="1" applyFill="1" applyBorder="1" applyAlignment="1">
      <alignment horizontal="center" wrapText="1"/>
    </xf>
    <xf numFmtId="3" fontId="33" fillId="0" borderId="75" xfId="49" applyNumberFormat="1" applyFont="1" applyFill="1" applyBorder="1" applyAlignment="1">
      <alignment horizontal="center" vertical="center" wrapText="1"/>
    </xf>
    <xf numFmtId="3" fontId="33" fillId="0" borderId="73" xfId="49" applyNumberFormat="1" applyFont="1" applyFill="1" applyBorder="1" applyAlignment="1">
      <alignment horizontal="center" vertical="center" wrapText="1"/>
    </xf>
    <xf numFmtId="3" fontId="33" fillId="0" borderId="74" xfId="49" applyNumberFormat="1" applyFont="1" applyFill="1" applyBorder="1" applyAlignment="1">
      <alignment horizontal="center" vertical="center" wrapText="1"/>
    </xf>
    <xf numFmtId="3" fontId="33" fillId="0" borderId="51" xfId="49" applyNumberFormat="1" applyFont="1" applyFill="1" applyBorder="1" applyAlignment="1">
      <alignment horizontal="center" vertical="center" wrapText="1"/>
    </xf>
    <xf numFmtId="3" fontId="33" fillId="0" borderId="76" xfId="49" applyNumberFormat="1" applyFont="1" applyFill="1" applyBorder="1" applyAlignment="1">
      <alignment horizontal="center" vertical="center" wrapText="1"/>
    </xf>
    <xf numFmtId="3" fontId="34" fillId="0" borderId="62" xfId="49" applyNumberFormat="1" applyFont="1" applyFill="1" applyBorder="1" applyAlignment="1">
      <alignment horizontal="center" vertical="center" wrapText="1"/>
    </xf>
    <xf numFmtId="3" fontId="33" fillId="0" borderId="52" xfId="49" applyNumberFormat="1" applyFont="1" applyFill="1" applyBorder="1" applyAlignment="1">
      <alignment horizontal="center" vertical="center"/>
    </xf>
    <xf numFmtId="3" fontId="33" fillId="0" borderId="7" xfId="49" applyNumberFormat="1" applyFont="1" applyFill="1" applyBorder="1" applyAlignment="1">
      <alignment horizontal="center" vertical="center"/>
    </xf>
    <xf numFmtId="3" fontId="33" fillId="0" borderId="62" xfId="49" applyNumberFormat="1" applyFont="1" applyFill="1" applyBorder="1" applyAlignment="1">
      <alignment horizontal="center" vertical="center"/>
    </xf>
    <xf numFmtId="3" fontId="33" fillId="0" borderId="17" xfId="49" applyNumberFormat="1" applyFont="1" applyFill="1" applyBorder="1" applyAlignment="1">
      <alignment horizontal="center" vertical="center"/>
    </xf>
    <xf numFmtId="3" fontId="33" fillId="0" borderId="53" xfId="49" applyNumberFormat="1" applyFont="1" applyFill="1" applyBorder="1" applyAlignment="1">
      <alignment horizontal="center" vertical="center"/>
    </xf>
    <xf numFmtId="3" fontId="33" fillId="0" borderId="32" xfId="49" applyNumberFormat="1" applyFont="1" applyFill="1" applyBorder="1" applyAlignment="1">
      <alignment horizontal="center" vertical="center"/>
    </xf>
    <xf numFmtId="167" fontId="33" fillId="0" borderId="24" xfId="49" applyNumberFormat="1" applyFont="1" applyFill="1" applyBorder="1" applyAlignment="1">
      <alignment horizontal="center" vertical="center"/>
    </xf>
    <xf numFmtId="3" fontId="34" fillId="30" borderId="62" xfId="49" applyNumberFormat="1" applyFont="1" applyFill="1" applyBorder="1" applyAlignment="1">
      <alignment horizontal="center" vertical="center" wrapText="1"/>
    </xf>
    <xf numFmtId="3" fontId="34" fillId="36" borderId="62" xfId="49" applyNumberFormat="1" applyFont="1" applyFill="1" applyBorder="1" applyAlignment="1">
      <alignment horizontal="center" vertical="center"/>
    </xf>
    <xf numFmtId="3" fontId="35" fillId="0" borderId="52" xfId="49" applyNumberFormat="1" applyFont="1" applyFill="1" applyBorder="1" applyAlignment="1">
      <alignment horizontal="center" vertical="center" wrapText="1"/>
    </xf>
    <xf numFmtId="3" fontId="35" fillId="30" borderId="7" xfId="49" applyNumberFormat="1" applyFont="1" applyFill="1" applyBorder="1" applyAlignment="1">
      <alignment horizontal="center" vertical="center" wrapText="1"/>
    </xf>
    <xf numFmtId="3" fontId="35" fillId="30" borderId="62" xfId="49" applyNumberFormat="1" applyFont="1" applyFill="1" applyBorder="1" applyAlignment="1">
      <alignment horizontal="center" vertical="center" wrapText="1"/>
    </xf>
    <xf numFmtId="3" fontId="35" fillId="30" borderId="52" xfId="49" applyNumberFormat="1" applyFont="1" applyFill="1" applyBorder="1" applyAlignment="1">
      <alignment horizontal="center" vertical="center" wrapText="1"/>
    </xf>
    <xf numFmtId="3" fontId="35" fillId="30" borderId="53" xfId="49" applyNumberFormat="1" applyFont="1" applyFill="1" applyBorder="1" applyAlignment="1">
      <alignment horizontal="center" vertical="center" wrapText="1"/>
    </xf>
    <xf numFmtId="3" fontId="33" fillId="0" borderId="52" xfId="49" applyNumberFormat="1" applyFont="1" applyFill="1" applyBorder="1" applyAlignment="1">
      <alignment horizontal="center" vertical="center" wrapText="1"/>
    </xf>
    <xf numFmtId="3" fontId="33" fillId="0" borderId="7" xfId="49" applyNumberFormat="1" applyFont="1" applyFill="1" applyBorder="1" applyAlignment="1">
      <alignment horizontal="center" vertical="center" wrapText="1"/>
    </xf>
    <xf numFmtId="3" fontId="33" fillId="0" borderId="62" xfId="49" applyNumberFormat="1" applyFont="1" applyFill="1" applyBorder="1" applyAlignment="1">
      <alignment horizontal="center" vertical="center" wrapText="1"/>
    </xf>
    <xf numFmtId="3" fontId="33" fillId="0" borderId="32" xfId="49" applyNumberFormat="1" applyFont="1" applyFill="1" applyBorder="1" applyAlignment="1">
      <alignment horizontal="center" vertical="center" wrapText="1"/>
    </xf>
    <xf numFmtId="3" fontId="33" fillId="0" borderId="53" xfId="49" applyNumberFormat="1" applyFont="1" applyFill="1" applyBorder="1" applyAlignment="1">
      <alignment horizontal="center" vertical="center" wrapText="1"/>
    </xf>
    <xf numFmtId="0" fontId="33" fillId="30" borderId="30" xfId="49" applyFont="1" applyFill="1" applyBorder="1" applyAlignment="1">
      <alignment horizontal="center" vertical="center"/>
    </xf>
    <xf numFmtId="9" fontId="33" fillId="30" borderId="30" xfId="49" applyNumberFormat="1" applyFont="1" applyFill="1" applyBorder="1" applyAlignment="1">
      <alignment horizontal="center" vertical="center"/>
    </xf>
    <xf numFmtId="49" fontId="33" fillId="30" borderId="21" xfId="49" applyNumberFormat="1" applyFont="1" applyFill="1" applyBorder="1" applyAlignment="1">
      <alignment wrapText="1"/>
    </xf>
    <xf numFmtId="0" fontId="33" fillId="0" borderId="21" xfId="49" applyFont="1" applyFill="1" applyBorder="1" applyAlignment="1">
      <alignment horizontal="center" vertical="center" wrapText="1"/>
    </xf>
    <xf numFmtId="3" fontId="33" fillId="0" borderId="56" xfId="49" applyNumberFormat="1" applyFont="1" applyFill="1" applyBorder="1" applyAlignment="1">
      <alignment horizontal="center" vertical="center" wrapText="1"/>
    </xf>
    <xf numFmtId="3" fontId="33" fillId="0" borderId="77" xfId="49" applyNumberFormat="1" applyFont="1" applyFill="1" applyBorder="1" applyAlignment="1">
      <alignment horizontal="center" vertical="center" wrapText="1"/>
    </xf>
    <xf numFmtId="3" fontId="33" fillId="0" borderId="78" xfId="49" applyNumberFormat="1" applyFont="1" applyFill="1" applyBorder="1" applyAlignment="1">
      <alignment horizontal="center" vertical="center" wrapText="1"/>
    </xf>
    <xf numFmtId="3" fontId="33" fillId="0" borderId="57" xfId="49" applyNumberFormat="1" applyFont="1" applyFill="1" applyBorder="1" applyAlignment="1">
      <alignment horizontal="center" vertical="center" wrapText="1"/>
    </xf>
    <xf numFmtId="3" fontId="33" fillId="0" borderId="79" xfId="49" applyNumberFormat="1" applyFont="1" applyFill="1" applyBorder="1" applyAlignment="1">
      <alignment horizontal="center" vertical="center" wrapText="1"/>
    </xf>
    <xf numFmtId="0" fontId="40" fillId="0" borderId="75" xfId="0" applyFont="1" applyBorder="1" applyAlignment="1">
      <alignment horizontal="center"/>
    </xf>
    <xf numFmtId="0" fontId="40" fillId="0" borderId="76" xfId="0" applyFont="1" applyBorder="1"/>
    <xf numFmtId="0" fontId="38" fillId="0" borderId="29" xfId="0" applyFont="1" applyBorder="1" applyAlignment="1">
      <alignment horizontal="center"/>
    </xf>
    <xf numFmtId="0" fontId="40" fillId="0" borderId="52" xfId="0" applyFont="1" applyBorder="1" applyAlignment="1">
      <alignment horizontal="center"/>
    </xf>
    <xf numFmtId="0" fontId="40" fillId="0" borderId="53" xfId="0" applyFont="1" applyBorder="1"/>
    <xf numFmtId="0" fontId="38" fillId="0" borderId="24" xfId="0" applyFont="1" applyBorder="1" applyAlignment="1">
      <alignment horizontal="center"/>
    </xf>
    <xf numFmtId="49" fontId="40" fillId="0" borderId="52" xfId="0" applyNumberFormat="1" applyFont="1" applyBorder="1" applyAlignment="1" applyProtection="1">
      <alignment horizontal="center" vertical="center" wrapText="1"/>
    </xf>
    <xf numFmtId="0" fontId="38" fillId="21" borderId="24" xfId="0" applyFont="1" applyFill="1" applyBorder="1" applyAlignment="1">
      <alignment horizontal="center" vertical="center" wrapText="1"/>
    </xf>
    <xf numFmtId="0" fontId="40" fillId="0" borderId="52" xfId="40" quotePrefix="1" applyFont="1" applyBorder="1" applyAlignment="1" applyProtection="1">
      <alignment horizontal="center" vertical="center" wrapText="1"/>
    </xf>
    <xf numFmtId="0" fontId="40" fillId="0" borderId="53" xfId="0" applyFont="1" applyFill="1" applyBorder="1"/>
    <xf numFmtId="0" fontId="38" fillId="0" borderId="52" xfId="40" quotePrefix="1" applyFont="1" applyBorder="1" applyAlignment="1" applyProtection="1">
      <alignment horizontal="center" vertical="center" wrapText="1"/>
    </xf>
    <xf numFmtId="0" fontId="38" fillId="0" borderId="53" xfId="0" applyFont="1" applyBorder="1" applyAlignment="1">
      <alignment horizontal="left" indent="1"/>
    </xf>
    <xf numFmtId="0" fontId="38" fillId="0" borderId="53" xfId="0" applyFont="1" applyFill="1" applyBorder="1" applyAlignment="1">
      <alignment horizontal="right"/>
    </xf>
    <xf numFmtId="0" fontId="38" fillId="0" borderId="56" xfId="40" quotePrefix="1" applyFont="1" applyBorder="1" applyAlignment="1" applyProtection="1">
      <alignment horizontal="center" vertical="center" wrapText="1"/>
    </xf>
    <xf numFmtId="0" fontId="38" fillId="0" borderId="57" xfId="0" applyFont="1" applyFill="1" applyBorder="1" applyAlignment="1">
      <alignment horizontal="right"/>
    </xf>
    <xf numFmtId="0" fontId="38" fillId="21" borderId="30" xfId="0" applyFont="1" applyFill="1" applyBorder="1" applyAlignment="1">
      <alignment horizontal="center" vertical="center" wrapText="1"/>
    </xf>
    <xf numFmtId="170" fontId="14" fillId="40" borderId="63" xfId="0" applyNumberFormat="1" applyFont="1" applyFill="1" applyBorder="1" applyAlignment="1" applyProtection="1">
      <alignment horizontal="center" wrapText="1"/>
    </xf>
    <xf numFmtId="170" fontId="14" fillId="40" borderId="55" xfId="0" applyNumberFormat="1" applyFont="1" applyFill="1" applyBorder="1" applyAlignment="1" applyProtection="1">
      <alignment horizontal="center" wrapText="1"/>
    </xf>
    <xf numFmtId="49" fontId="4" fillId="0" borderId="75" xfId="0" applyNumberFormat="1" applyFont="1" applyBorder="1" applyAlignment="1" applyProtection="1">
      <alignment horizontal="center" vertical="center" wrapText="1"/>
    </xf>
    <xf numFmtId="49" fontId="4" fillId="0" borderId="56" xfId="0" applyNumberFormat="1" applyFont="1" applyBorder="1" applyAlignment="1" applyProtection="1">
      <alignment horizontal="center" vertical="center" wrapText="1"/>
    </xf>
    <xf numFmtId="0" fontId="4" fillId="0" borderId="74" xfId="0" applyFont="1" applyBorder="1" applyAlignment="1">
      <alignment horizontal="left" indent="1"/>
    </xf>
    <xf numFmtId="0" fontId="4" fillId="0" borderId="62" xfId="0" applyFont="1" applyBorder="1" applyAlignment="1">
      <alignment horizontal="left" indent="1"/>
    </xf>
    <xf numFmtId="0" fontId="4" fillId="0" borderId="78" xfId="0" applyFont="1" applyBorder="1" applyAlignment="1">
      <alignment horizontal="left" indent="1"/>
    </xf>
    <xf numFmtId="49" fontId="33" fillId="26" borderId="42" xfId="49" applyNumberFormat="1" applyFont="1" applyFill="1" applyBorder="1" applyAlignment="1" applyProtection="1">
      <alignment horizontal="left" vertical="center" wrapText="1"/>
    </xf>
    <xf numFmtId="0" fontId="33" fillId="26" borderId="42" xfId="49" applyFont="1" applyFill="1" applyBorder="1" applyAlignment="1" applyProtection="1">
      <alignment horizontal="left" vertical="center" wrapText="1"/>
    </xf>
    <xf numFmtId="168" fontId="33" fillId="26" borderId="34" xfId="49" applyNumberFormat="1" applyFont="1" applyFill="1" applyBorder="1" applyAlignment="1" applyProtection="1">
      <alignment horizontal="center" vertical="center" wrapText="1"/>
    </xf>
    <xf numFmtId="168" fontId="115" fillId="26" borderId="47" xfId="49" applyNumberFormat="1" applyFont="1" applyFill="1" applyBorder="1" applyAlignment="1" applyProtection="1">
      <alignment horizontal="center" vertical="center" wrapText="1"/>
    </xf>
    <xf numFmtId="174" fontId="117" fillId="26" borderId="48" xfId="49" applyNumberFormat="1" applyFont="1" applyFill="1" applyBorder="1" applyAlignment="1" applyProtection="1">
      <alignment horizontal="center" vertical="center" wrapText="1"/>
    </xf>
    <xf numFmtId="168" fontId="33" fillId="26" borderId="47" xfId="49" applyNumberFormat="1" applyFont="1" applyFill="1" applyBorder="1" applyAlignment="1" applyProtection="1">
      <alignment horizontal="center" vertical="center" wrapText="1"/>
    </xf>
    <xf numFmtId="49" fontId="34" fillId="30" borderId="49" xfId="49" applyNumberFormat="1" applyFont="1" applyFill="1" applyBorder="1" applyAlignment="1" applyProtection="1">
      <alignment horizontal="left" vertical="center" wrapText="1"/>
    </xf>
    <xf numFmtId="0" fontId="34" fillId="30" borderId="61" xfId="49" applyFont="1" applyFill="1" applyBorder="1" applyAlignment="1" applyProtection="1">
      <alignment horizontal="left" vertical="center" wrapText="1"/>
    </xf>
    <xf numFmtId="168" fontId="122" fillId="30" borderId="75" xfId="49" applyNumberFormat="1" applyFont="1" applyFill="1" applyBorder="1" applyAlignment="1" applyProtection="1">
      <alignment horizontal="center" vertical="center" wrapText="1"/>
    </xf>
    <xf numFmtId="174" fontId="106" fillId="30" borderId="76" xfId="49" applyNumberFormat="1" applyFont="1" applyFill="1" applyBorder="1" applyAlignment="1" applyProtection="1">
      <alignment horizontal="center" vertical="center" wrapText="1"/>
    </xf>
    <xf numFmtId="0" fontId="35" fillId="30" borderId="61" xfId="49" applyFont="1" applyFill="1" applyBorder="1" applyAlignment="1" applyProtection="1">
      <alignment horizontal="left" vertical="center" wrapText="1" indent="1"/>
    </xf>
    <xf numFmtId="0" fontId="34" fillId="0" borderId="62" xfId="49" applyFont="1" applyFill="1" applyBorder="1" applyAlignment="1" applyProtection="1">
      <alignment horizontal="left" vertical="center" wrapText="1"/>
    </xf>
    <xf numFmtId="49" fontId="34" fillId="30" borderId="52" xfId="49" applyNumberFormat="1" applyFont="1" applyFill="1" applyBorder="1" applyAlignment="1" applyProtection="1">
      <alignment horizontal="left" vertical="center" wrapText="1"/>
    </xf>
    <xf numFmtId="0" fontId="34" fillId="30" borderId="62" xfId="49" applyFont="1" applyFill="1" applyBorder="1" applyAlignment="1" applyProtection="1">
      <alignment horizontal="left" vertical="center" wrapText="1"/>
    </xf>
    <xf numFmtId="168" fontId="34" fillId="30" borderId="17" xfId="49" applyNumberFormat="1" applyFont="1" applyFill="1" applyBorder="1" applyAlignment="1" applyProtection="1">
      <alignment horizontal="center" vertical="center" wrapText="1"/>
    </xf>
    <xf numFmtId="168" fontId="114" fillId="30" borderId="52" xfId="49" applyNumberFormat="1" applyFont="1" applyFill="1" applyBorder="1" applyAlignment="1" applyProtection="1">
      <alignment horizontal="center" vertical="center" wrapText="1"/>
    </xf>
    <xf numFmtId="174" fontId="106" fillId="30" borderId="53" xfId="49" applyNumberFormat="1" applyFont="1" applyFill="1" applyBorder="1" applyAlignment="1" applyProtection="1">
      <alignment horizontal="center" vertical="center" wrapText="1"/>
    </xf>
    <xf numFmtId="0" fontId="35" fillId="30" borderId="62" xfId="49" applyFont="1" applyFill="1" applyBorder="1" applyAlignment="1" applyProtection="1">
      <alignment horizontal="left" vertical="center" wrapText="1" indent="1"/>
    </xf>
    <xf numFmtId="0" fontId="35" fillId="30" borderId="62" xfId="49" applyFont="1" applyFill="1" applyBorder="1" applyAlignment="1" applyProtection="1">
      <alignment horizontal="left" vertical="center" wrapText="1"/>
    </xf>
    <xf numFmtId="49" fontId="34" fillId="30" borderId="54" xfId="49" applyNumberFormat="1" applyFont="1" applyFill="1" applyBorder="1" applyAlignment="1" applyProtection="1">
      <alignment horizontal="left" vertical="center" wrapText="1"/>
    </xf>
    <xf numFmtId="49" fontId="33" fillId="26" borderId="38" xfId="49" applyNumberFormat="1" applyFont="1" applyFill="1" applyBorder="1" applyAlignment="1" applyProtection="1">
      <alignment horizontal="left" vertical="center" wrapText="1"/>
    </xf>
    <xf numFmtId="0" fontId="33" fillId="26" borderId="60" xfId="49" applyFont="1" applyFill="1" applyBorder="1" applyAlignment="1" applyProtection="1">
      <alignment horizontal="left" vertical="center" wrapText="1"/>
    </xf>
    <xf numFmtId="168" fontId="33" fillId="26" borderId="2" xfId="49" applyNumberFormat="1" applyFont="1" applyFill="1" applyBorder="1" applyAlignment="1" applyProtection="1">
      <alignment horizontal="center" vertical="center" wrapText="1"/>
    </xf>
    <xf numFmtId="168" fontId="115" fillId="26" borderId="38" xfId="49" applyNumberFormat="1" applyFont="1" applyFill="1" applyBorder="1" applyAlignment="1" applyProtection="1">
      <alignment horizontal="center" vertical="center" wrapText="1"/>
    </xf>
    <xf numFmtId="174" fontId="117" fillId="26" borderId="10" xfId="49" applyNumberFormat="1" applyFont="1" applyFill="1" applyBorder="1" applyAlignment="1" applyProtection="1">
      <alignment horizontal="center" vertical="center" wrapText="1"/>
    </xf>
    <xf numFmtId="49" fontId="35" fillId="30" borderId="52" xfId="49" applyNumberFormat="1" applyFont="1" applyFill="1" applyBorder="1" applyAlignment="1" applyProtection="1">
      <alignment horizontal="left" vertical="center" wrapText="1"/>
    </xf>
    <xf numFmtId="0" fontId="34" fillId="30" borderId="52" xfId="49" applyNumberFormat="1" applyFont="1" applyFill="1" applyBorder="1" applyAlignment="1" applyProtection="1">
      <alignment horizontal="left" vertical="center" wrapText="1"/>
    </xf>
    <xf numFmtId="0" fontId="34" fillId="30" borderId="7" xfId="49" applyNumberFormat="1" applyFont="1" applyFill="1" applyBorder="1" applyAlignment="1" applyProtection="1">
      <alignment horizontal="left" vertical="center" wrapText="1"/>
    </xf>
    <xf numFmtId="49" fontId="35" fillId="30" borderId="64" xfId="49" applyNumberFormat="1" applyFont="1" applyFill="1" applyBorder="1" applyAlignment="1" applyProtection="1">
      <alignment horizontal="left" vertical="center" wrapText="1"/>
    </xf>
    <xf numFmtId="0" fontId="33" fillId="26" borderId="38" xfId="49" applyFont="1" applyFill="1" applyBorder="1" applyAlignment="1" applyProtection="1">
      <alignment horizontal="left" vertical="center" wrapText="1"/>
    </xf>
    <xf numFmtId="0" fontId="33" fillId="26" borderId="8" xfId="49" applyFont="1" applyFill="1" applyBorder="1" applyAlignment="1" applyProtection="1">
      <alignment horizontal="left" vertical="center" wrapText="1"/>
    </xf>
    <xf numFmtId="0" fontId="34" fillId="21" borderId="75" xfId="49" applyFont="1" applyFill="1" applyBorder="1" applyAlignment="1" applyProtection="1">
      <alignment horizontal="left" vertical="center" wrapText="1"/>
    </xf>
    <xf numFmtId="0" fontId="34" fillId="0" borderId="61" xfId="49" applyFont="1" applyFill="1" applyBorder="1" applyAlignment="1" applyProtection="1">
      <alignment horizontal="left" vertical="center" wrapText="1"/>
    </xf>
    <xf numFmtId="0" fontId="34" fillId="21" borderId="27" xfId="49" applyFont="1" applyFill="1" applyBorder="1" applyAlignment="1" applyProtection="1">
      <alignment horizontal="left" vertical="center" wrapText="1"/>
    </xf>
    <xf numFmtId="0" fontId="34" fillId="30" borderId="54" xfId="49" applyFont="1" applyFill="1" applyBorder="1" applyAlignment="1" applyProtection="1">
      <alignment horizontal="left" vertical="center" wrapText="1"/>
    </xf>
    <xf numFmtId="0" fontId="34" fillId="0" borderId="64" xfId="49" applyFont="1" applyFill="1" applyBorder="1" applyAlignment="1" applyProtection="1">
      <alignment horizontal="left" vertical="center" wrapText="1"/>
    </xf>
    <xf numFmtId="0" fontId="34" fillId="30" borderId="50" xfId="31" applyFont="1" applyFill="1" applyBorder="1" applyAlignment="1" applyProtection="1">
      <alignment horizontal="left" vertical="center" wrapText="1"/>
    </xf>
    <xf numFmtId="0" fontId="34" fillId="30" borderId="64" xfId="49" applyFont="1" applyFill="1" applyBorder="1" applyAlignment="1" applyProtection="1">
      <alignment horizontal="left" vertical="center" wrapText="1"/>
    </xf>
    <xf numFmtId="49" fontId="34" fillId="30" borderId="62" xfId="49" applyNumberFormat="1" applyFont="1" applyFill="1" applyBorder="1" applyAlignment="1" applyProtection="1">
      <alignment horizontal="left" vertical="center" wrapText="1"/>
    </xf>
    <xf numFmtId="0" fontId="34" fillId="0" borderId="67" xfId="31" applyFont="1" applyFill="1" applyBorder="1" applyAlignment="1" applyProtection="1">
      <alignment vertical="center" wrapText="1"/>
    </xf>
    <xf numFmtId="174" fontId="33" fillId="26" borderId="85" xfId="49" applyNumberFormat="1" applyFont="1" applyFill="1" applyBorder="1" applyAlignment="1" applyProtection="1">
      <alignment horizontal="center" vertical="center" wrapText="1"/>
    </xf>
    <xf numFmtId="174" fontId="33" fillId="26" borderId="38" xfId="49" applyNumberFormat="1" applyFont="1" applyFill="1" applyBorder="1" applyAlignment="1" applyProtection="1">
      <alignment horizontal="center" vertical="center" wrapText="1"/>
    </xf>
    <xf numFmtId="174" fontId="33" fillId="26" borderId="60" xfId="49" applyNumberFormat="1" applyFont="1" applyFill="1" applyBorder="1" applyAlignment="1" applyProtection="1">
      <alignment horizontal="center" vertical="center" wrapText="1"/>
    </xf>
    <xf numFmtId="0" fontId="124" fillId="30" borderId="0" xfId="2" quotePrefix="1" applyFont="1" applyFill="1" applyAlignment="1" applyProtection="1"/>
    <xf numFmtId="0" fontId="92" fillId="30" borderId="0" xfId="49" applyFont="1" applyFill="1"/>
    <xf numFmtId="0" fontId="94" fillId="30" borderId="0" xfId="49" applyFont="1" applyFill="1"/>
    <xf numFmtId="168" fontId="33" fillId="26" borderId="65" xfId="49" applyNumberFormat="1" applyFont="1" applyFill="1" applyBorder="1" applyAlignment="1" applyProtection="1">
      <alignment horizontal="center" vertical="center" wrapText="1"/>
    </xf>
    <xf numFmtId="168" fontId="33" fillId="26" borderId="9" xfId="49" applyNumberFormat="1" applyFont="1" applyFill="1" applyBorder="1" applyAlignment="1" applyProtection="1">
      <alignment horizontal="center" vertical="center" wrapText="1"/>
    </xf>
    <xf numFmtId="168" fontId="33" fillId="26" borderId="10" xfId="49" applyNumberFormat="1" applyFont="1" applyFill="1" applyBorder="1" applyAlignment="1" applyProtection="1">
      <alignment horizontal="center" vertical="center" wrapText="1"/>
    </xf>
    <xf numFmtId="168" fontId="33" fillId="26" borderId="60" xfId="49" applyNumberFormat="1" applyFont="1" applyFill="1" applyBorder="1" applyAlignment="1" applyProtection="1">
      <alignment horizontal="center" vertical="center" wrapText="1"/>
    </xf>
    <xf numFmtId="168" fontId="33" fillId="26" borderId="38" xfId="49" applyNumberFormat="1" applyFont="1" applyFill="1" applyBorder="1" applyAlignment="1" applyProtection="1">
      <alignment horizontal="center" vertical="center" wrapText="1"/>
    </xf>
    <xf numFmtId="168" fontId="34" fillId="36" borderId="5" xfId="49" applyNumberFormat="1" applyFont="1" applyFill="1" applyBorder="1" applyAlignment="1" applyProtection="1">
      <alignment horizontal="center" vertical="center" wrapText="1"/>
    </xf>
    <xf numFmtId="168" fontId="34" fillId="36" borderId="73" xfId="49" applyNumberFormat="1" applyFont="1" applyFill="1" applyBorder="1" applyAlignment="1" applyProtection="1">
      <alignment horizontal="center" vertical="center" wrapText="1"/>
    </xf>
    <xf numFmtId="168" fontId="34" fillId="36" borderId="31" xfId="49" applyNumberFormat="1" applyFont="1" applyFill="1" applyBorder="1" applyAlignment="1" applyProtection="1">
      <alignment horizontal="center" vertical="center" wrapText="1"/>
    </xf>
    <xf numFmtId="168" fontId="34" fillId="36" borderId="6" xfId="49" applyNumberFormat="1" applyFont="1" applyFill="1" applyBorder="1" applyAlignment="1" applyProtection="1">
      <alignment horizontal="center" vertical="center" wrapText="1"/>
    </xf>
    <xf numFmtId="168" fontId="34" fillId="36" borderId="44" xfId="49" applyNumberFormat="1" applyFont="1" applyFill="1" applyBorder="1" applyAlignment="1" applyProtection="1">
      <alignment horizontal="center" vertical="center" wrapText="1"/>
    </xf>
    <xf numFmtId="49" fontId="35" fillId="30" borderId="49" xfId="49" applyNumberFormat="1" applyFont="1" applyFill="1" applyBorder="1" applyAlignment="1" applyProtection="1">
      <alignment horizontal="left" vertical="center" wrapText="1"/>
    </xf>
    <xf numFmtId="168" fontId="34" fillId="36" borderId="17" xfId="49" applyNumberFormat="1" applyFont="1" applyFill="1" applyBorder="1" applyAlignment="1" applyProtection="1">
      <alignment horizontal="center" vertical="center" wrapText="1"/>
    </xf>
    <xf numFmtId="168" fontId="34" fillId="36" borderId="32" xfId="49" applyNumberFormat="1" applyFont="1" applyFill="1" applyBorder="1" applyAlignment="1" applyProtection="1">
      <alignment horizontal="center" vertical="center" wrapText="1"/>
    </xf>
    <xf numFmtId="168" fontId="34" fillId="36" borderId="7" xfId="49" applyNumberFormat="1" applyFont="1" applyFill="1" applyBorder="1" applyAlignment="1" applyProtection="1">
      <alignment horizontal="center" vertical="center" wrapText="1"/>
    </xf>
    <xf numFmtId="168" fontId="34" fillId="36" borderId="53" xfId="49" applyNumberFormat="1" applyFont="1" applyFill="1" applyBorder="1" applyAlignment="1" applyProtection="1">
      <alignment horizontal="center" vertical="center" wrapText="1"/>
    </xf>
    <xf numFmtId="168" fontId="34" fillId="36" borderId="23" xfId="49" applyNumberFormat="1" applyFont="1" applyFill="1" applyBorder="1" applyAlignment="1" applyProtection="1">
      <alignment horizontal="center" vertical="center" wrapText="1"/>
    </xf>
    <xf numFmtId="168" fontId="34" fillId="36" borderId="62" xfId="49" applyNumberFormat="1" applyFont="1" applyFill="1" applyBorder="1" applyAlignment="1" applyProtection="1">
      <alignment horizontal="center" vertical="center" wrapText="1"/>
    </xf>
    <xf numFmtId="168" fontId="34" fillId="36" borderId="24" xfId="49" applyNumberFormat="1" applyFont="1" applyFill="1" applyBorder="1" applyAlignment="1" applyProtection="1">
      <alignment horizontal="center" vertical="center" wrapText="1"/>
    </xf>
    <xf numFmtId="49" fontId="34" fillId="30" borderId="7" xfId="49" applyNumberFormat="1" applyFont="1" applyFill="1" applyBorder="1" applyAlignment="1" applyProtection="1">
      <alignment horizontal="left" vertical="center" wrapText="1"/>
    </xf>
    <xf numFmtId="0" fontId="34" fillId="21" borderId="52" xfId="49" applyFont="1" applyFill="1" applyBorder="1" applyAlignment="1" applyProtection="1">
      <alignment horizontal="left" vertical="center" wrapText="1"/>
    </xf>
    <xf numFmtId="168" fontId="33" fillId="26" borderId="8" xfId="49" applyNumberFormat="1" applyFont="1" applyFill="1" applyBorder="1" applyAlignment="1" applyProtection="1">
      <alignment horizontal="center" vertical="center" wrapText="1"/>
    </xf>
    <xf numFmtId="167" fontId="33" fillId="26" borderId="85" xfId="49" applyNumberFormat="1" applyFont="1" applyFill="1" applyBorder="1" applyAlignment="1" applyProtection="1">
      <alignment horizontal="center" vertical="center" wrapText="1"/>
    </xf>
    <xf numFmtId="167" fontId="33" fillId="26" borderId="9" xfId="49" applyNumberFormat="1" applyFont="1" applyFill="1" applyBorder="1" applyAlignment="1" applyProtection="1">
      <alignment horizontal="center" vertical="center" wrapText="1"/>
    </xf>
    <xf numFmtId="167" fontId="33" fillId="26" borderId="60" xfId="49" applyNumberFormat="1" applyFont="1" applyFill="1" applyBorder="1" applyAlignment="1" applyProtection="1">
      <alignment horizontal="center" vertical="center" wrapText="1"/>
    </xf>
    <xf numFmtId="167" fontId="33" fillId="26" borderId="10" xfId="49" applyNumberFormat="1" applyFont="1" applyFill="1" applyBorder="1" applyAlignment="1" applyProtection="1">
      <alignment horizontal="center" vertical="center" wrapText="1"/>
    </xf>
    <xf numFmtId="168" fontId="33" fillId="26" borderId="86" xfId="49" applyNumberFormat="1" applyFont="1" applyFill="1" applyBorder="1" applyAlignment="1" applyProtection="1">
      <alignment horizontal="center" vertical="center" wrapText="1"/>
    </xf>
    <xf numFmtId="168" fontId="33" fillId="26" borderId="87" xfId="49" applyNumberFormat="1" applyFont="1" applyFill="1" applyBorder="1" applyAlignment="1" applyProtection="1">
      <alignment horizontal="center" vertical="center" wrapText="1"/>
    </xf>
    <xf numFmtId="168" fontId="33" fillId="0" borderId="2" xfId="49" applyNumberFormat="1" applyFont="1" applyFill="1" applyBorder="1" applyAlignment="1" applyProtection="1">
      <alignment horizontal="center" vertical="center" wrapText="1"/>
    </xf>
    <xf numFmtId="168" fontId="33" fillId="0" borderId="65" xfId="49" applyNumberFormat="1" applyFont="1" applyFill="1" applyBorder="1" applyAlignment="1" applyProtection="1">
      <alignment horizontal="center" vertical="center" wrapText="1"/>
    </xf>
    <xf numFmtId="168" fontId="33" fillId="0" borderId="9" xfId="49" applyNumberFormat="1" applyFont="1" applyFill="1" applyBorder="1" applyAlignment="1" applyProtection="1">
      <alignment horizontal="center" vertical="center" wrapText="1"/>
    </xf>
    <xf numFmtId="168" fontId="33" fillId="0" borderId="10" xfId="49" applyNumberFormat="1" applyFont="1" applyFill="1" applyBorder="1" applyAlignment="1" applyProtection="1">
      <alignment horizontal="center" vertical="center" wrapText="1"/>
    </xf>
    <xf numFmtId="168" fontId="33" fillId="0" borderId="2" xfId="31" applyNumberFormat="1" applyFont="1" applyFill="1" applyBorder="1" applyAlignment="1" applyProtection="1">
      <alignment horizontal="center" vertical="center" wrapText="1"/>
    </xf>
    <xf numFmtId="168" fontId="33" fillId="0" borderId="9" xfId="31" applyNumberFormat="1" applyFont="1" applyFill="1" applyBorder="1" applyAlignment="1" applyProtection="1">
      <alignment horizontal="center" vertical="center" wrapText="1"/>
    </xf>
    <xf numFmtId="168" fontId="33" fillId="0" borderId="10" xfId="31" applyNumberFormat="1" applyFont="1" applyFill="1" applyBorder="1" applyAlignment="1" applyProtection="1">
      <alignment horizontal="center" vertical="center" wrapText="1"/>
    </xf>
    <xf numFmtId="3" fontId="39" fillId="30" borderId="75" xfId="0" applyNumberFormat="1" applyFont="1" applyFill="1" applyBorder="1" applyAlignment="1">
      <alignment horizontal="center" vertical="center"/>
    </xf>
    <xf numFmtId="3" fontId="39" fillId="30" borderId="73" xfId="0" applyNumberFormat="1" applyFont="1" applyFill="1" applyBorder="1" applyAlignment="1">
      <alignment horizontal="center" vertical="center"/>
    </xf>
    <xf numFmtId="3" fontId="39" fillId="30" borderId="76" xfId="0" applyNumberFormat="1" applyFont="1" applyFill="1" applyBorder="1" applyAlignment="1">
      <alignment horizontal="center" vertical="center"/>
    </xf>
    <xf numFmtId="3" fontId="39" fillId="30" borderId="52" xfId="0" applyNumberFormat="1" applyFont="1" applyFill="1" applyBorder="1" applyAlignment="1">
      <alignment horizontal="center" vertical="center"/>
    </xf>
    <xf numFmtId="3" fontId="39" fillId="30" borderId="7" xfId="0" applyNumberFormat="1" applyFont="1" applyFill="1" applyBorder="1" applyAlignment="1">
      <alignment horizontal="center" vertical="center"/>
    </xf>
    <xf numFmtId="3" fontId="39" fillId="30" borderId="53" xfId="0" applyNumberFormat="1" applyFont="1" applyFill="1" applyBorder="1" applyAlignment="1">
      <alignment horizontal="center" vertical="center"/>
    </xf>
    <xf numFmtId="3" fontId="39" fillId="30" borderId="77" xfId="0" applyNumberFormat="1" applyFont="1" applyFill="1" applyBorder="1" applyAlignment="1">
      <alignment horizontal="center" vertical="center"/>
    </xf>
    <xf numFmtId="3" fontId="39" fillId="30" borderId="57" xfId="0" applyNumberFormat="1" applyFont="1" applyFill="1" applyBorder="1" applyAlignment="1">
      <alignment horizontal="center" vertical="center"/>
    </xf>
    <xf numFmtId="3" fontId="33" fillId="30" borderId="73" xfId="0" applyNumberFormat="1" applyFont="1" applyFill="1" applyBorder="1" applyAlignment="1">
      <alignment horizontal="center" vertical="center"/>
    </xf>
    <xf numFmtId="3" fontId="33" fillId="30" borderId="76" xfId="0" applyNumberFormat="1" applyFont="1" applyFill="1" applyBorder="1" applyAlignment="1">
      <alignment horizontal="center" vertical="center"/>
    </xf>
    <xf numFmtId="3" fontId="34" fillId="0" borderId="7" xfId="0" applyNumberFormat="1" applyFont="1" applyFill="1" applyBorder="1" applyAlignment="1">
      <alignment horizontal="center" vertical="center"/>
    </xf>
    <xf numFmtId="3" fontId="33" fillId="30" borderId="7" xfId="0" applyNumberFormat="1" applyFont="1" applyFill="1" applyBorder="1" applyAlignment="1">
      <alignment horizontal="center" vertical="center"/>
    </xf>
    <xf numFmtId="3" fontId="33" fillId="30" borderId="53" xfId="0" applyNumberFormat="1" applyFont="1" applyFill="1" applyBorder="1" applyAlignment="1">
      <alignment horizontal="center" vertical="center"/>
    </xf>
    <xf numFmtId="3" fontId="34" fillId="0" borderId="77" xfId="0" applyNumberFormat="1" applyFont="1" applyFill="1" applyBorder="1" applyAlignment="1">
      <alignment horizontal="center" vertical="center"/>
    </xf>
    <xf numFmtId="3" fontId="33" fillId="30" borderId="77" xfId="0" applyNumberFormat="1" applyFont="1" applyFill="1" applyBorder="1" applyAlignment="1">
      <alignment horizontal="center" vertical="center"/>
    </xf>
    <xf numFmtId="3" fontId="33" fillId="30" borderId="57" xfId="0" applyNumberFormat="1" applyFont="1" applyFill="1" applyBorder="1" applyAlignment="1">
      <alignment horizontal="center" vertical="center"/>
    </xf>
    <xf numFmtId="0" fontId="20" fillId="29" borderId="0" xfId="0" applyFont="1" applyFill="1"/>
    <xf numFmtId="0" fontId="40" fillId="0" borderId="7" xfId="0" applyFont="1" applyFill="1" applyBorder="1" applyAlignment="1" applyProtection="1">
      <alignment horizontal="left" vertical="center" wrapText="1"/>
    </xf>
    <xf numFmtId="0" fontId="40" fillId="0" borderId="7" xfId="0" applyFont="1" applyFill="1" applyBorder="1" applyAlignment="1" applyProtection="1">
      <alignment horizontal="center" vertical="center" wrapText="1"/>
    </xf>
    <xf numFmtId="3" fontId="40" fillId="0" borderId="7" xfId="0" applyNumberFormat="1" applyFont="1" applyBorder="1" applyAlignment="1" applyProtection="1">
      <alignment horizontal="center" vertical="center"/>
    </xf>
    <xf numFmtId="3" fontId="40" fillId="0" borderId="53" xfId="0" applyNumberFormat="1" applyFont="1" applyBorder="1" applyAlignment="1" applyProtection="1">
      <alignment horizontal="center" vertical="center"/>
    </xf>
    <xf numFmtId="0" fontId="38" fillId="0" borderId="7" xfId="0" applyFont="1" applyFill="1" applyBorder="1" applyAlignment="1" applyProtection="1">
      <alignment horizontal="left" vertical="center" wrapText="1" indent="1"/>
    </xf>
    <xf numFmtId="0" fontId="38" fillId="0" borderId="7" xfId="0" applyFont="1" applyBorder="1" applyAlignment="1" applyProtection="1">
      <alignment horizontal="center" vertical="center" wrapText="1"/>
    </xf>
    <xf numFmtId="0" fontId="38" fillId="0" borderId="7" xfId="0" applyFont="1" applyBorder="1" applyAlignment="1" applyProtection="1">
      <alignment horizontal="left" vertical="center" wrapText="1" indent="1"/>
    </xf>
    <xf numFmtId="0" fontId="38" fillId="0" borderId="7" xfId="0" applyFont="1" applyBorder="1" applyAlignment="1" applyProtection="1">
      <alignment horizontal="center" vertical="center"/>
    </xf>
    <xf numFmtId="10" fontId="40" fillId="0" borderId="7" xfId="41" applyNumberFormat="1" applyFont="1" applyBorder="1" applyAlignment="1" applyProtection="1">
      <alignment horizontal="center" vertical="center"/>
    </xf>
    <xf numFmtId="10" fontId="40" fillId="0" borderId="53" xfId="41" applyNumberFormat="1" applyFont="1" applyBorder="1" applyAlignment="1" applyProtection="1">
      <alignment horizontal="center" vertical="center"/>
    </xf>
    <xf numFmtId="0" fontId="40" fillId="22" borderId="7" xfId="0" applyFont="1" applyFill="1" applyBorder="1" applyAlignment="1" applyProtection="1">
      <alignment horizontal="left" vertical="center" wrapText="1"/>
    </xf>
    <xf numFmtId="0" fontId="40" fillId="22" borderId="7" xfId="0" applyFont="1" applyFill="1" applyBorder="1" applyAlignment="1" applyProtection="1">
      <alignment horizontal="center" vertical="center" wrapText="1"/>
    </xf>
    <xf numFmtId="10" fontId="40" fillId="22" borderId="7" xfId="41" applyNumberFormat="1" applyFont="1" applyFill="1" applyBorder="1" applyAlignment="1" applyProtection="1">
      <alignment horizontal="center" vertical="center"/>
    </xf>
    <xf numFmtId="0" fontId="38" fillId="0" borderId="7" xfId="0" applyFont="1" applyBorder="1" applyAlignment="1" applyProtection="1">
      <alignment horizontal="left" vertical="center" wrapText="1"/>
    </xf>
    <xf numFmtId="3" fontId="38" fillId="0" borderId="7" xfId="41" applyNumberFormat="1" applyFont="1" applyFill="1" applyBorder="1" applyAlignment="1" applyProtection="1">
      <alignment horizontal="center" vertical="center"/>
    </xf>
    <xf numFmtId="3" fontId="38" fillId="0" borderId="53" xfId="41" applyNumberFormat="1" applyFont="1" applyFill="1" applyBorder="1" applyAlignment="1" applyProtection="1">
      <alignment horizontal="center" vertical="center"/>
    </xf>
    <xf numFmtId="0" fontId="40" fillId="0" borderId="77" xfId="0" applyFont="1" applyBorder="1" applyAlignment="1" applyProtection="1">
      <alignment horizontal="left" vertical="center" wrapText="1"/>
    </xf>
    <xf numFmtId="0" fontId="40" fillId="0" borderId="77" xfId="0" applyFont="1" applyBorder="1" applyAlignment="1" applyProtection="1">
      <alignment horizontal="center" vertical="center" wrapText="1"/>
    </xf>
    <xf numFmtId="3" fontId="40" fillId="0" borderId="77" xfId="0" applyNumberFormat="1" applyFont="1" applyBorder="1" applyAlignment="1" applyProtection="1">
      <alignment horizontal="center" vertical="center"/>
    </xf>
    <xf numFmtId="3" fontId="40" fillId="0" borderId="57" xfId="0" applyNumberFormat="1" applyFont="1" applyBorder="1" applyAlignment="1" applyProtection="1">
      <alignment horizontal="center" vertical="center"/>
    </xf>
    <xf numFmtId="170" fontId="40" fillId="40" borderId="56" xfId="32" applyNumberFormat="1" applyFont="1" applyFill="1" applyBorder="1" applyAlignment="1" applyProtection="1">
      <alignment horizontal="center" wrapText="1"/>
    </xf>
    <xf numFmtId="170" fontId="40" fillId="40" borderId="77" xfId="32" applyNumberFormat="1" applyFont="1" applyFill="1" applyBorder="1" applyAlignment="1" applyProtection="1">
      <alignment horizontal="center" wrapText="1"/>
    </xf>
    <xf numFmtId="170" fontId="40" fillId="40" borderId="57" xfId="32" applyNumberFormat="1" applyFont="1" applyFill="1" applyBorder="1" applyAlignment="1" applyProtection="1">
      <alignment horizontal="center" wrapText="1"/>
    </xf>
    <xf numFmtId="49" fontId="40" fillId="21" borderId="52" xfId="32" applyNumberFormat="1" applyFont="1" applyFill="1" applyBorder="1" applyAlignment="1" applyProtection="1">
      <alignment horizontal="center" vertical="center" wrapText="1"/>
    </xf>
    <xf numFmtId="0" fontId="40" fillId="0" borderId="23" xfId="32" applyFont="1" applyFill="1" applyBorder="1" applyAlignment="1" applyProtection="1">
      <alignment vertical="center" wrapText="1"/>
    </xf>
    <xf numFmtId="167" fontId="38" fillId="0" borderId="7" xfId="32" applyNumberFormat="1" applyFont="1" applyFill="1" applyBorder="1" applyAlignment="1" applyProtection="1">
      <alignment horizontal="right" vertical="center"/>
      <protection locked="0"/>
    </xf>
    <xf numFmtId="167" fontId="38" fillId="21" borderId="7" xfId="32" applyNumberFormat="1" applyFont="1" applyFill="1" applyBorder="1" applyAlignment="1" applyProtection="1">
      <alignment horizontal="right" vertical="center"/>
      <protection locked="0"/>
    </xf>
    <xf numFmtId="167" fontId="38" fillId="21" borderId="53" xfId="32" applyNumberFormat="1" applyFont="1" applyFill="1" applyBorder="1" applyAlignment="1" applyProtection="1">
      <alignment horizontal="right" vertical="center"/>
      <protection locked="0"/>
    </xf>
    <xf numFmtId="167" fontId="38" fillId="0" borderId="53" xfId="32" applyNumberFormat="1" applyFont="1" applyFill="1" applyBorder="1" applyAlignment="1" applyProtection="1">
      <alignment horizontal="right" vertical="center"/>
      <protection locked="0"/>
    </xf>
    <xf numFmtId="49" fontId="38" fillId="21" borderId="52" xfId="32" applyNumberFormat="1" applyFont="1" applyFill="1" applyBorder="1" applyAlignment="1" applyProtection="1">
      <alignment horizontal="center" vertical="center" wrapText="1"/>
    </xf>
    <xf numFmtId="0" fontId="38" fillId="0" borderId="23" xfId="32" applyFont="1" applyFill="1" applyBorder="1" applyAlignment="1" applyProtection="1">
      <alignment vertical="center" wrapText="1"/>
    </xf>
    <xf numFmtId="167" fontId="38" fillId="21" borderId="52" xfId="32" applyNumberFormat="1" applyFont="1" applyFill="1" applyBorder="1" applyAlignment="1" applyProtection="1">
      <alignment horizontal="right" vertical="center"/>
      <protection locked="0"/>
    </xf>
    <xf numFmtId="171" fontId="33" fillId="28" borderId="47" xfId="0" applyNumberFormat="1" applyFont="1" applyFill="1" applyBorder="1" applyAlignment="1">
      <alignment vertical="center"/>
    </xf>
    <xf numFmtId="0" fontId="33" fillId="0" borderId="26" xfId="0" applyFont="1" applyBorder="1" applyAlignment="1">
      <alignment horizontal="center" vertical="center"/>
    </xf>
    <xf numFmtId="0" fontId="33" fillId="0" borderId="34" xfId="0" applyFont="1" applyFill="1" applyBorder="1" applyAlignment="1">
      <alignment horizontal="left" vertical="center" wrapText="1"/>
    </xf>
    <xf numFmtId="0" fontId="33" fillId="0" borderId="51" xfId="0" applyFont="1" applyBorder="1" applyAlignment="1">
      <alignment horizontal="center"/>
    </xf>
    <xf numFmtId="0" fontId="33" fillId="0" borderId="35" xfId="0" applyFont="1" applyFill="1" applyBorder="1" applyAlignment="1">
      <alignment horizontal="left" vertical="center" wrapText="1"/>
    </xf>
    <xf numFmtId="0" fontId="34" fillId="0" borderId="17" xfId="40" quotePrefix="1" applyFont="1" applyBorder="1" applyAlignment="1" applyProtection="1">
      <alignment horizontal="center" vertical="center" wrapText="1"/>
    </xf>
    <xf numFmtId="0" fontId="34" fillId="0" borderId="21" xfId="40" quotePrefix="1" applyFont="1" applyBorder="1" applyAlignment="1" applyProtection="1">
      <alignment horizontal="center" vertical="center" wrapText="1"/>
    </xf>
    <xf numFmtId="3" fontId="33" fillId="33" borderId="7" xfId="32" applyNumberFormat="1" applyFont="1" applyFill="1" applyBorder="1" applyAlignment="1">
      <alignment horizontal="center"/>
    </xf>
    <xf numFmtId="3" fontId="33" fillId="34" borderId="7" xfId="32" applyNumberFormat="1" applyFont="1" applyFill="1" applyBorder="1" applyAlignment="1">
      <alignment horizontal="center"/>
    </xf>
    <xf numFmtId="3" fontId="34" fillId="0" borderId="7" xfId="32" applyNumberFormat="1" applyFont="1" applyFill="1" applyBorder="1" applyAlignment="1">
      <alignment horizontal="center"/>
    </xf>
    <xf numFmtId="3" fontId="33" fillId="37" borderId="7" xfId="32" applyNumberFormat="1" applyFont="1" applyFill="1" applyBorder="1" applyAlignment="1">
      <alignment horizontal="center"/>
    </xf>
    <xf numFmtId="3" fontId="33" fillId="38" borderId="7" xfId="32" applyNumberFormat="1" applyFont="1" applyFill="1" applyBorder="1" applyAlignment="1">
      <alignment horizontal="center"/>
    </xf>
    <xf numFmtId="1" fontId="33" fillId="42" borderId="1" xfId="21" applyFont="1" applyFill="1" applyBorder="1" applyAlignment="1">
      <alignment horizontal="center" vertical="center" wrapText="1"/>
    </xf>
    <xf numFmtId="1" fontId="33" fillId="42" borderId="38" xfId="21" applyFont="1" applyFill="1" applyBorder="1">
      <alignment horizontal="center" vertical="center" wrapText="1"/>
    </xf>
    <xf numFmtId="1" fontId="33" fillId="42" borderId="9" xfId="21" applyFont="1" applyFill="1" applyBorder="1">
      <alignment horizontal="center" vertical="center" wrapText="1"/>
    </xf>
    <xf numFmtId="1" fontId="33" fillId="42" borderId="10" xfId="21" applyFont="1" applyFill="1" applyBorder="1">
      <alignment horizontal="center" vertical="center" wrapText="1"/>
    </xf>
    <xf numFmtId="1" fontId="33" fillId="42" borderId="65" xfId="21" applyFont="1" applyFill="1" applyBorder="1">
      <alignment horizontal="center" vertical="center" wrapText="1"/>
    </xf>
    <xf numFmtId="1" fontId="33" fillId="42" borderId="2" xfId="21" applyFont="1" applyFill="1" applyBorder="1" applyAlignment="1">
      <alignment horizontal="center" vertical="center" wrapText="1"/>
    </xf>
    <xf numFmtId="1" fontId="33" fillId="42" borderId="1" xfId="21" applyFont="1" applyFill="1" applyBorder="1">
      <alignment horizontal="center" vertical="center" wrapText="1"/>
    </xf>
    <xf numFmtId="1" fontId="33" fillId="42" borderId="2" xfId="21" applyFont="1" applyFill="1" applyBorder="1">
      <alignment horizontal="center" vertical="center" wrapText="1"/>
    </xf>
    <xf numFmtId="1" fontId="13" fillId="42" borderId="1" xfId="21" applyFont="1" applyFill="1" applyBorder="1">
      <alignment horizontal="center" vertical="center" wrapText="1"/>
    </xf>
    <xf numFmtId="1" fontId="13" fillId="42" borderId="38" xfId="21" applyFont="1" applyFill="1" applyBorder="1">
      <alignment horizontal="center" vertical="center" wrapText="1"/>
    </xf>
    <xf numFmtId="1" fontId="13" fillId="42" borderId="9" xfId="21" applyFont="1" applyFill="1" applyBorder="1">
      <alignment horizontal="center" vertical="center" wrapText="1"/>
    </xf>
    <xf numFmtId="1" fontId="13" fillId="42" borderId="10" xfId="21" applyFont="1" applyFill="1" applyBorder="1">
      <alignment horizontal="center" vertical="center" wrapText="1"/>
    </xf>
    <xf numFmtId="1" fontId="13" fillId="42" borderId="2" xfId="21" applyFont="1" applyFill="1" applyBorder="1">
      <alignment horizontal="center" vertical="center" wrapText="1"/>
    </xf>
    <xf numFmtId="1" fontId="13" fillId="42" borderId="65" xfId="21" applyFont="1" applyFill="1" applyBorder="1">
      <alignment horizontal="center" vertical="center" wrapText="1"/>
    </xf>
    <xf numFmtId="0" fontId="40" fillId="0" borderId="52" xfId="0" applyFont="1" applyFill="1" applyBorder="1" applyAlignment="1" applyProtection="1">
      <alignment horizontal="center" vertical="center" wrapText="1"/>
    </xf>
    <xf numFmtId="49" fontId="38" fillId="0" borderId="52" xfId="0" applyNumberFormat="1" applyFont="1" applyBorder="1" applyAlignment="1" applyProtection="1">
      <alignment horizontal="center" vertical="center" wrapText="1"/>
    </xf>
    <xf numFmtId="0" fontId="40" fillId="22" borderId="52" xfId="0" applyFont="1" applyFill="1" applyBorder="1" applyAlignment="1" applyProtection="1">
      <alignment horizontal="center" vertical="center" wrapText="1"/>
    </xf>
    <xf numFmtId="0" fontId="40" fillId="0" borderId="56" xfId="0" applyFont="1" applyBorder="1" applyAlignment="1" applyProtection="1">
      <alignment horizontal="center" vertical="center"/>
    </xf>
    <xf numFmtId="168" fontId="34" fillId="30" borderId="52" xfId="49" applyNumberFormat="1" applyFont="1" applyFill="1" applyBorder="1" applyAlignment="1" applyProtection="1">
      <alignment horizontal="center" vertical="center" wrapText="1"/>
    </xf>
    <xf numFmtId="174" fontId="33" fillId="29" borderId="0" xfId="49" applyNumberFormat="1" applyFont="1" applyFill="1" applyBorder="1" applyAlignment="1" applyProtection="1">
      <alignment horizontal="center" vertical="center" wrapText="1"/>
    </xf>
    <xf numFmtId="174" fontId="45" fillId="29" borderId="0" xfId="49" applyNumberFormat="1" applyFont="1" applyFill="1" applyAlignment="1">
      <alignment horizontal="center"/>
    </xf>
    <xf numFmtId="174" fontId="45" fillId="29" borderId="0" xfId="49" applyNumberFormat="1" applyFont="1" applyFill="1"/>
    <xf numFmtId="174" fontId="79" fillId="29" borderId="0" xfId="49" applyNumberFormat="1" applyFont="1" applyFill="1"/>
    <xf numFmtId="0" fontId="11" fillId="0" borderId="0" xfId="42" applyNumberFormat="1" applyFont="1" applyBorder="1" applyAlignment="1">
      <alignment horizontal="center"/>
    </xf>
    <xf numFmtId="2" fontId="4" fillId="29" borderId="0" xfId="0" applyNumberFormat="1" applyFont="1" applyFill="1" applyBorder="1" applyAlignment="1" applyProtection="1">
      <alignment horizontal="center" vertical="center"/>
      <protection locked="0"/>
    </xf>
    <xf numFmtId="169" fontId="4" fillId="0" borderId="0" xfId="0" applyNumberFormat="1" applyFont="1"/>
    <xf numFmtId="3" fontId="45" fillId="30" borderId="0" xfId="49" applyNumberFormat="1" applyFont="1" applyFill="1" applyAlignment="1">
      <alignment horizontal="center"/>
    </xf>
    <xf numFmtId="170" fontId="33" fillId="40" borderId="77" xfId="49" applyNumberFormat="1" applyFont="1" applyFill="1" applyBorder="1" applyAlignment="1" applyProtection="1">
      <alignment horizontal="center" wrapText="1"/>
    </xf>
    <xf numFmtId="170" fontId="33" fillId="40" borderId="57" xfId="49" applyNumberFormat="1" applyFont="1" applyFill="1" applyBorder="1" applyAlignment="1" applyProtection="1">
      <alignment horizontal="center" wrapText="1"/>
    </xf>
    <xf numFmtId="170" fontId="33" fillId="40" borderId="79" xfId="49" applyNumberFormat="1" applyFont="1" applyFill="1" applyBorder="1" applyAlignment="1" applyProtection="1">
      <alignment horizontal="center" wrapText="1"/>
    </xf>
    <xf numFmtId="170" fontId="33" fillId="40" borderId="19" xfId="49" applyNumberFormat="1" applyFont="1" applyFill="1" applyBorder="1" applyAlignment="1" applyProtection="1">
      <alignment horizontal="center" wrapText="1"/>
    </xf>
    <xf numFmtId="0" fontId="95" fillId="30" borderId="0" xfId="49" applyFont="1" applyFill="1" applyBorder="1" applyAlignment="1"/>
    <xf numFmtId="3" fontId="63" fillId="0" borderId="0" xfId="2" quotePrefix="1" applyNumberFormat="1" applyFont="1" applyFill="1" applyAlignment="1" applyProtection="1"/>
    <xf numFmtId="0" fontId="63" fillId="0" borderId="0" xfId="2" quotePrefix="1" applyFont="1" applyFill="1" applyBorder="1" applyAlignment="1" applyProtection="1"/>
    <xf numFmtId="0" fontId="34" fillId="0" borderId="0" xfId="31" applyFont="1" applyFill="1"/>
    <xf numFmtId="3" fontId="33" fillId="0" borderId="0" xfId="31" applyNumberFormat="1" applyFont="1" applyFill="1" applyBorder="1"/>
    <xf numFmtId="0" fontId="34" fillId="0" borderId="27" xfId="31" applyFont="1" applyBorder="1"/>
    <xf numFmtId="173" fontId="34" fillId="0" borderId="0" xfId="37" applyNumberFormat="1" applyFont="1" applyFill="1" applyBorder="1" applyAlignment="1" applyProtection="1">
      <alignment horizontal="right" vertical="center" wrapText="1"/>
      <protection locked="0"/>
    </xf>
    <xf numFmtId="0" fontId="33" fillId="0" borderId="0" xfId="0" applyFont="1" applyFill="1" applyBorder="1" applyAlignment="1"/>
    <xf numFmtId="173" fontId="34" fillId="0" borderId="0" xfId="21" applyNumberFormat="1" applyFont="1" applyFill="1" applyBorder="1">
      <alignment horizontal="center" vertical="center" wrapText="1"/>
    </xf>
    <xf numFmtId="173" fontId="33" fillId="0" borderId="73" xfId="21" applyNumberFormat="1" applyFont="1" applyFill="1" applyBorder="1">
      <alignment horizontal="center" vertical="center" wrapText="1"/>
    </xf>
    <xf numFmtId="173" fontId="33" fillId="0" borderId="7" xfId="21" applyNumberFormat="1" applyFont="1" applyFill="1" applyBorder="1">
      <alignment horizontal="center" vertical="center" wrapText="1"/>
    </xf>
    <xf numFmtId="49" fontId="34" fillId="0" borderId="25" xfId="27" applyFont="1" applyFill="1" applyBorder="1">
      <alignment vertical="top" wrapText="1"/>
    </xf>
    <xf numFmtId="49" fontId="34" fillId="0" borderId="24" xfId="27" applyFont="1" applyFill="1" applyBorder="1">
      <alignment vertical="top" wrapText="1"/>
    </xf>
    <xf numFmtId="10" fontId="34" fillId="0" borderId="52" xfId="1" applyNumberFormat="1" applyFont="1" applyFill="1" applyBorder="1" applyAlignment="1">
      <alignment horizontal="right" vertical="center" wrapText="1"/>
    </xf>
    <xf numFmtId="10" fontId="34" fillId="0" borderId="7" xfId="1" applyNumberFormat="1" applyFont="1" applyFill="1" applyBorder="1" applyAlignment="1">
      <alignment horizontal="right" vertical="center" wrapText="1"/>
    </xf>
    <xf numFmtId="10" fontId="34" fillId="0" borderId="53" xfId="1" applyNumberFormat="1" applyFont="1" applyFill="1" applyBorder="1" applyAlignment="1">
      <alignment horizontal="right" vertical="center" wrapText="1"/>
    </xf>
    <xf numFmtId="38" fontId="34" fillId="0" borderId="52" xfId="28" applyFont="1" applyFill="1" applyBorder="1">
      <alignment horizontal="right" vertical="center" wrapText="1"/>
    </xf>
    <xf numFmtId="38" fontId="34" fillId="0" borderId="7" xfId="28" applyFont="1" applyFill="1" applyBorder="1">
      <alignment horizontal="right" vertical="center" wrapText="1"/>
    </xf>
    <xf numFmtId="38" fontId="34" fillId="0" borderId="53" xfId="28" applyFont="1" applyFill="1" applyBorder="1">
      <alignment horizontal="right" vertical="center" wrapText="1"/>
    </xf>
    <xf numFmtId="38" fontId="34" fillId="0" borderId="54" xfId="28" applyFont="1" applyFill="1" applyBorder="1">
      <alignment horizontal="right" vertical="center" wrapText="1"/>
    </xf>
    <xf numFmtId="38" fontId="34" fillId="0" borderId="63" xfId="28" applyFont="1" applyFill="1" applyBorder="1">
      <alignment horizontal="right" vertical="center" wrapText="1"/>
    </xf>
    <xf numFmtId="38" fontId="34" fillId="0" borderId="55" xfId="28" applyFont="1" applyFill="1" applyBorder="1">
      <alignment horizontal="right" vertical="center" wrapText="1"/>
    </xf>
    <xf numFmtId="49" fontId="34" fillId="0" borderId="30" xfId="27" applyFont="1" applyFill="1" applyBorder="1">
      <alignment vertical="top" wrapText="1"/>
    </xf>
    <xf numFmtId="38" fontId="34" fillId="0" borderId="56" xfId="28" applyFont="1" applyFill="1" applyBorder="1">
      <alignment horizontal="right" vertical="center" wrapText="1"/>
    </xf>
    <xf numFmtId="38" fontId="34" fillId="0" borderId="77" xfId="28" applyFont="1" applyFill="1" applyBorder="1">
      <alignment horizontal="right" vertical="center" wrapText="1"/>
    </xf>
    <xf numFmtId="38" fontId="34" fillId="0" borderId="57" xfId="28" applyFont="1" applyFill="1" applyBorder="1">
      <alignment horizontal="right" vertical="center" wrapText="1"/>
    </xf>
    <xf numFmtId="0" fontId="33" fillId="0" borderId="0" xfId="31" applyFont="1" applyFill="1" applyBorder="1" applyAlignment="1">
      <alignment horizontal="right"/>
    </xf>
    <xf numFmtId="3" fontId="33" fillId="34" borderId="51" xfId="32" applyNumberFormat="1" applyFont="1" applyFill="1" applyBorder="1" applyAlignment="1">
      <alignment horizontal="center" vertical="center"/>
    </xf>
    <xf numFmtId="3" fontId="35" fillId="30" borderId="32" xfId="32" applyNumberFormat="1" applyFont="1" applyFill="1" applyBorder="1" applyAlignment="1">
      <alignment horizontal="center"/>
    </xf>
    <xf numFmtId="3" fontId="39" fillId="34" borderId="75" xfId="32" applyNumberFormat="1" applyFont="1" applyFill="1" applyBorder="1" applyAlignment="1">
      <alignment horizontal="center" vertical="center"/>
    </xf>
    <xf numFmtId="3" fontId="33" fillId="34" borderId="76" xfId="32" applyNumberFormat="1" applyFont="1" applyFill="1" applyBorder="1" applyAlignment="1">
      <alignment horizontal="center" vertical="center"/>
    </xf>
    <xf numFmtId="3" fontId="35" fillId="30" borderId="54" xfId="32" applyNumberFormat="1" applyFont="1" applyFill="1" applyBorder="1" applyAlignment="1">
      <alignment horizontal="center"/>
    </xf>
    <xf numFmtId="3" fontId="34" fillId="30" borderId="55" xfId="32" applyNumberFormat="1" applyFont="1" applyFill="1" applyBorder="1" applyAlignment="1">
      <alignment horizontal="center"/>
    </xf>
    <xf numFmtId="9" fontId="35" fillId="30" borderId="75" xfId="1" applyFont="1" applyFill="1" applyBorder="1" applyAlignment="1">
      <alignment horizontal="center"/>
    </xf>
    <xf numFmtId="9" fontId="35" fillId="30" borderId="52" xfId="1" applyFont="1" applyFill="1" applyBorder="1" applyAlignment="1">
      <alignment horizontal="center"/>
    </xf>
    <xf numFmtId="9" fontId="35" fillId="30" borderId="56" xfId="1" applyFont="1" applyFill="1" applyBorder="1" applyAlignment="1">
      <alignment horizontal="center"/>
    </xf>
    <xf numFmtId="3" fontId="80" fillId="29" borderId="35" xfId="32" applyNumberFormat="1" applyFont="1" applyFill="1" applyBorder="1" applyAlignment="1">
      <alignment horizontal="center" vertical="center"/>
    </xf>
    <xf numFmtId="3" fontId="80" fillId="29" borderId="26" xfId="32" applyNumberFormat="1" applyFont="1" applyFill="1" applyBorder="1" applyAlignment="1">
      <alignment horizontal="center" vertical="center"/>
    </xf>
    <xf numFmtId="38" fontId="34" fillId="0" borderId="0" xfId="28" applyFont="1" applyFill="1" applyBorder="1">
      <alignment horizontal="right" vertical="center" wrapText="1"/>
    </xf>
    <xf numFmtId="173" fontId="33" fillId="40" borderId="77" xfId="31" applyNumberFormat="1" applyFont="1" applyFill="1" applyBorder="1" applyAlignment="1">
      <alignment vertical="center"/>
    </xf>
    <xf numFmtId="173" fontId="33" fillId="40" borderId="57" xfId="31" applyNumberFormat="1" applyFont="1" applyFill="1" applyBorder="1" applyAlignment="1">
      <alignment vertical="center"/>
    </xf>
    <xf numFmtId="173" fontId="33" fillId="40" borderId="56" xfId="31" applyNumberFormat="1" applyFont="1" applyFill="1" applyBorder="1" applyAlignment="1">
      <alignment vertical="center"/>
    </xf>
    <xf numFmtId="0" fontId="106" fillId="0" borderId="0" xfId="31" applyFont="1" applyBorder="1" applyAlignment="1">
      <alignment wrapText="1"/>
    </xf>
    <xf numFmtId="173" fontId="106" fillId="0" borderId="0" xfId="37" applyNumberFormat="1" applyFont="1" applyFill="1" applyBorder="1" applyAlignment="1" applyProtection="1">
      <alignment horizontal="right" vertical="center" wrapText="1"/>
      <protection locked="0"/>
    </xf>
    <xf numFmtId="173" fontId="33" fillId="0" borderId="72" xfId="21" applyNumberFormat="1" applyFont="1" applyFill="1" applyBorder="1">
      <alignment horizontal="center" vertical="center" wrapText="1"/>
    </xf>
    <xf numFmtId="0" fontId="34" fillId="30" borderId="61" xfId="31" applyFont="1" applyFill="1" applyBorder="1" applyAlignment="1" applyProtection="1">
      <alignment horizontal="left" vertical="center" wrapText="1"/>
    </xf>
    <xf numFmtId="0" fontId="34" fillId="0" borderId="61" xfId="31" applyFont="1" applyFill="1" applyBorder="1" applyAlignment="1" applyProtection="1">
      <alignment horizontal="left" vertical="center" wrapText="1"/>
    </xf>
    <xf numFmtId="168" fontId="33" fillId="26" borderId="3" xfId="49" applyNumberFormat="1" applyFont="1" applyFill="1" applyBorder="1" applyAlignment="1" applyProtection="1">
      <alignment horizontal="center" vertical="center" wrapText="1"/>
    </xf>
    <xf numFmtId="49" fontId="34" fillId="30" borderId="66" xfId="49" applyNumberFormat="1" applyFont="1" applyFill="1" applyBorder="1" applyAlignment="1" applyProtection="1">
      <alignment horizontal="left" vertical="center" wrapText="1"/>
    </xf>
    <xf numFmtId="0" fontId="13" fillId="0" borderId="0" xfId="31" applyFont="1" applyAlignment="1">
      <alignment horizontal="center"/>
    </xf>
    <xf numFmtId="0" fontId="4" fillId="0" borderId="0" xfId="31" applyFont="1" applyAlignment="1">
      <alignment horizontal="center"/>
    </xf>
    <xf numFmtId="173" fontId="33" fillId="0" borderId="7" xfId="37" applyNumberFormat="1" applyFont="1" applyFill="1" applyBorder="1" applyAlignment="1" applyProtection="1">
      <alignment horizontal="center" vertical="center" wrapText="1"/>
    </xf>
    <xf numFmtId="173" fontId="35" fillId="0" borderId="7" xfId="37" applyNumberFormat="1" applyFont="1" applyFill="1" applyBorder="1" applyAlignment="1" applyProtection="1">
      <alignment horizontal="right" vertical="center" wrapText="1"/>
    </xf>
    <xf numFmtId="0" fontId="4" fillId="0" borderId="0" xfId="31" applyFont="1" applyFill="1" applyAlignment="1">
      <alignment horizontal="center"/>
    </xf>
    <xf numFmtId="3" fontId="35" fillId="0" borderId="7" xfId="37" applyFont="1" applyFill="1" applyBorder="1" applyAlignment="1" applyProtection="1">
      <alignment horizontal="right" vertical="center" wrapText="1"/>
    </xf>
    <xf numFmtId="3" fontId="34" fillId="0" borderId="7" xfId="31" applyNumberFormat="1" applyFont="1" applyBorder="1" applyAlignment="1" applyProtection="1">
      <alignment horizontal="right"/>
    </xf>
    <xf numFmtId="0" fontId="34" fillId="0" borderId="0" xfId="31" applyFont="1" applyAlignment="1">
      <alignment horizontal="right"/>
    </xf>
    <xf numFmtId="10" fontId="34" fillId="0" borderId="32" xfId="1" applyNumberFormat="1" applyFont="1" applyFill="1" applyBorder="1" applyAlignment="1">
      <alignment horizontal="right" vertical="center" wrapText="1"/>
    </xf>
    <xf numFmtId="38" fontId="34" fillId="0" borderId="32" xfId="28" applyFont="1" applyFill="1" applyBorder="1">
      <alignment horizontal="right" vertical="center" wrapText="1"/>
    </xf>
    <xf numFmtId="0" fontId="33" fillId="0" borderId="75" xfId="31" applyFont="1" applyBorder="1" applyAlignment="1">
      <alignment horizontal="center" vertical="center"/>
    </xf>
    <xf numFmtId="3" fontId="33" fillId="34" borderId="73" xfId="37" applyFont="1" applyFill="1" applyBorder="1" applyAlignment="1" applyProtection="1">
      <alignment horizontal="center" vertical="center" wrapText="1"/>
    </xf>
    <xf numFmtId="3" fontId="33" fillId="34" borderId="76" xfId="37" applyFont="1" applyFill="1" applyBorder="1" applyAlignment="1" applyProtection="1">
      <alignment horizontal="center" vertical="center" wrapText="1"/>
    </xf>
    <xf numFmtId="3" fontId="34" fillId="0" borderId="53" xfId="31" applyNumberFormat="1" applyFont="1" applyBorder="1" applyAlignment="1" applyProtection="1">
      <alignment horizontal="right"/>
    </xf>
    <xf numFmtId="3" fontId="35" fillId="0" borderId="77" xfId="37" applyFont="1" applyFill="1" applyBorder="1" applyAlignment="1" applyProtection="1">
      <alignment horizontal="right" vertical="center" wrapText="1"/>
    </xf>
    <xf numFmtId="3" fontId="34" fillId="0" borderId="77" xfId="31" applyNumberFormat="1" applyFont="1" applyBorder="1" applyAlignment="1" applyProtection="1">
      <alignment horizontal="right"/>
    </xf>
    <xf numFmtId="3" fontId="34" fillId="0" borderId="57" xfId="31" applyNumberFormat="1" applyFont="1" applyBorder="1" applyAlignment="1" applyProtection="1">
      <alignment horizontal="right"/>
    </xf>
    <xf numFmtId="0" fontId="33" fillId="40" borderId="77" xfId="31" applyFont="1" applyFill="1" applyBorder="1" applyAlignment="1">
      <alignment horizontal="center" vertical="center"/>
    </xf>
    <xf numFmtId="0" fontId="33" fillId="40" borderId="57" xfId="31" applyFont="1" applyFill="1" applyBorder="1" applyAlignment="1">
      <alignment horizontal="center" vertical="center"/>
    </xf>
    <xf numFmtId="0" fontId="4" fillId="0" borderId="75" xfId="31" applyFont="1" applyFill="1" applyBorder="1" applyAlignment="1">
      <alignment horizontal="center"/>
    </xf>
    <xf numFmtId="3" fontId="33" fillId="26" borderId="73" xfId="31" applyNumberFormat="1" applyFont="1" applyFill="1" applyBorder="1" applyAlignment="1">
      <alignment horizontal="center"/>
    </xf>
    <xf numFmtId="3" fontId="33" fillId="26" borderId="76" xfId="31" applyNumberFormat="1" applyFont="1" applyFill="1" applyBorder="1" applyAlignment="1">
      <alignment horizontal="center"/>
    </xf>
    <xf numFmtId="0" fontId="13" fillId="0" borderId="52" xfId="31" applyFont="1" applyBorder="1" applyAlignment="1">
      <alignment horizontal="center"/>
    </xf>
    <xf numFmtId="173" fontId="33" fillId="0" borderId="53" xfId="37" applyNumberFormat="1" applyFont="1" applyFill="1" applyBorder="1" applyAlignment="1" applyProtection="1">
      <alignment horizontal="center" vertical="center" wrapText="1"/>
    </xf>
    <xf numFmtId="173" fontId="35" fillId="0" borderId="53" xfId="37" applyNumberFormat="1" applyFont="1" applyFill="1" applyBorder="1" applyAlignment="1" applyProtection="1">
      <alignment horizontal="right" vertical="center" wrapText="1"/>
    </xf>
    <xf numFmtId="173" fontId="35" fillId="0" borderId="77" xfId="37" applyNumberFormat="1" applyFont="1" applyFill="1" applyBorder="1" applyAlignment="1" applyProtection="1">
      <alignment horizontal="right" vertical="center" wrapText="1"/>
    </xf>
    <xf numFmtId="173" fontId="35" fillId="0" borderId="57" xfId="37" applyNumberFormat="1" applyFont="1" applyFill="1" applyBorder="1" applyAlignment="1" applyProtection="1">
      <alignment horizontal="right" vertical="center" wrapText="1"/>
    </xf>
    <xf numFmtId="16" fontId="34" fillId="0" borderId="52" xfId="31" applyNumberFormat="1" applyFont="1" applyBorder="1" applyAlignment="1">
      <alignment horizontal="center"/>
    </xf>
    <xf numFmtId="16" fontId="34" fillId="0" borderId="56" xfId="31" applyNumberFormat="1" applyFont="1" applyBorder="1" applyAlignment="1">
      <alignment horizontal="center"/>
    </xf>
    <xf numFmtId="0" fontId="36" fillId="0" borderId="52" xfId="31" applyFont="1" applyBorder="1" applyAlignment="1">
      <alignment horizontal="center"/>
    </xf>
    <xf numFmtId="0" fontId="36" fillId="0" borderId="56" xfId="31" applyFont="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3" fontId="34" fillId="0" borderId="7" xfId="21" applyNumberFormat="1" applyFont="1" applyFill="1" applyBorder="1">
      <alignment horizontal="center" vertical="center" wrapText="1"/>
    </xf>
    <xf numFmtId="0" fontId="4" fillId="0" borderId="75" xfId="0" applyFont="1" applyFill="1" applyBorder="1" applyAlignment="1">
      <alignment horizontal="center"/>
    </xf>
    <xf numFmtId="173" fontId="33" fillId="0" borderId="76" xfId="21" applyNumberFormat="1" applyFont="1" applyFill="1" applyBorder="1">
      <alignment horizontal="center" vertical="center" wrapText="1"/>
    </xf>
    <xf numFmtId="0" fontId="4" fillId="0" borderId="52" xfId="0" applyFont="1" applyFill="1" applyBorder="1" applyAlignment="1">
      <alignment horizontal="center"/>
    </xf>
    <xf numFmtId="173" fontId="33" fillId="0" borderId="53" xfId="21" applyNumberFormat="1" applyFont="1" applyFill="1" applyBorder="1">
      <alignment horizontal="center" vertical="center" wrapText="1"/>
    </xf>
    <xf numFmtId="1" fontId="34" fillId="0" borderId="7" xfId="21" applyNumberFormat="1" applyFont="1" applyFill="1" applyBorder="1">
      <alignment horizontal="center" vertical="center" wrapText="1"/>
    </xf>
    <xf numFmtId="1" fontId="34" fillId="0" borderId="53" xfId="21" applyNumberFormat="1" applyFont="1" applyFill="1" applyBorder="1">
      <alignment horizontal="center" vertical="center" wrapText="1"/>
    </xf>
    <xf numFmtId="3" fontId="34" fillId="0" borderId="53" xfId="21" applyNumberFormat="1" applyFont="1" applyFill="1" applyBorder="1">
      <alignment horizontal="center" vertical="center" wrapText="1"/>
    </xf>
    <xf numFmtId="49" fontId="34" fillId="0" borderId="33" xfId="27" applyFont="1" applyFill="1" applyBorder="1">
      <alignment vertical="top" wrapText="1"/>
    </xf>
    <xf numFmtId="49" fontId="34" fillId="0" borderId="23" xfId="27" applyFont="1" applyFill="1" applyBorder="1">
      <alignment vertical="top" wrapText="1"/>
    </xf>
    <xf numFmtId="0" fontId="34" fillId="0" borderId="15" xfId="31" applyFont="1" applyBorder="1" applyAlignment="1">
      <alignment horizontal="right" wrapText="1"/>
    </xf>
    <xf numFmtId="0" fontId="34" fillId="0" borderId="19" xfId="31" applyFont="1" applyBorder="1" applyAlignment="1">
      <alignment horizontal="right" wrapText="1"/>
    </xf>
    <xf numFmtId="16" fontId="4" fillId="0" borderId="52" xfId="0" applyNumberFormat="1" applyFont="1" applyBorder="1" applyAlignment="1">
      <alignment horizontal="center"/>
    </xf>
    <xf numFmtId="0" fontId="4" fillId="0" borderId="52" xfId="0" applyFont="1" applyBorder="1" applyAlignment="1">
      <alignment horizontal="center"/>
    </xf>
    <xf numFmtId="0" fontId="4" fillId="0" borderId="56" xfId="0" applyFont="1" applyBorder="1" applyAlignment="1">
      <alignment horizontal="center"/>
    </xf>
    <xf numFmtId="49" fontId="34" fillId="0" borderId="28" xfId="27" applyFont="1" applyFill="1" applyBorder="1">
      <alignment vertical="top" wrapText="1"/>
    </xf>
    <xf numFmtId="16" fontId="80" fillId="0" borderId="38" xfId="0" applyNumberFormat="1" applyFont="1" applyBorder="1" applyAlignment="1">
      <alignment horizontal="center"/>
    </xf>
    <xf numFmtId="0" fontId="80" fillId="0" borderId="47" xfId="0" applyFont="1" applyBorder="1" applyAlignment="1">
      <alignment horizontal="center"/>
    </xf>
    <xf numFmtId="0" fontId="33" fillId="26" borderId="74" xfId="31" applyFont="1" applyFill="1" applyBorder="1" applyAlignment="1">
      <alignment horizontal="center"/>
    </xf>
    <xf numFmtId="0" fontId="35" fillId="0" borderId="62" xfId="31" applyFont="1" applyBorder="1" applyAlignment="1">
      <alignment horizontal="right"/>
    </xf>
    <xf numFmtId="0" fontId="35" fillId="0" borderId="78" xfId="31" applyFont="1" applyBorder="1" applyAlignment="1">
      <alignment horizontal="right"/>
    </xf>
    <xf numFmtId="0" fontId="33" fillId="40" borderId="78" xfId="31" applyFont="1" applyFill="1" applyBorder="1" applyAlignment="1">
      <alignment horizontal="center" vertical="center"/>
    </xf>
    <xf numFmtId="3" fontId="33" fillId="34" borderId="74" xfId="37" applyFont="1" applyFill="1" applyBorder="1" applyAlignment="1" applyProtection="1">
      <alignment horizontal="center" vertical="center" wrapText="1"/>
    </xf>
    <xf numFmtId="3" fontId="35" fillId="0" borderId="62" xfId="37" applyFont="1" applyFill="1" applyBorder="1" applyAlignment="1" applyProtection="1">
      <alignment horizontal="right" vertical="center" wrapText="1"/>
    </xf>
    <xf numFmtId="3" fontId="34" fillId="0" borderId="78" xfId="31" applyNumberFormat="1" applyFont="1" applyBorder="1" applyAlignment="1" applyProtection="1">
      <alignment horizontal="right"/>
    </xf>
    <xf numFmtId="0" fontId="33" fillId="40" borderId="79" xfId="31" applyFont="1" applyFill="1" applyBorder="1" applyAlignment="1">
      <alignment horizontal="center" vertical="center"/>
    </xf>
    <xf numFmtId="3" fontId="33" fillId="34" borderId="72" xfId="37" applyFont="1" applyFill="1" applyBorder="1" applyAlignment="1" applyProtection="1">
      <alignment horizontal="center" vertical="center" wrapText="1"/>
    </xf>
    <xf numFmtId="3" fontId="35" fillId="0" borderId="32" xfId="37" applyFont="1" applyFill="1" applyBorder="1" applyAlignment="1" applyProtection="1">
      <alignment horizontal="right" vertical="center" wrapText="1"/>
    </xf>
    <xf numFmtId="3" fontId="34" fillId="0" borderId="79" xfId="31" applyNumberFormat="1" applyFont="1" applyBorder="1" applyAlignment="1" applyProtection="1">
      <alignment horizontal="right"/>
    </xf>
    <xf numFmtId="0" fontId="33" fillId="40" borderId="56" xfId="31" applyFont="1" applyFill="1" applyBorder="1" applyAlignment="1">
      <alignment horizontal="center" vertical="center"/>
    </xf>
    <xf numFmtId="3" fontId="33" fillId="34" borderId="75" xfId="37" applyFont="1" applyFill="1" applyBorder="1" applyAlignment="1" applyProtection="1">
      <alignment horizontal="center" vertical="center" wrapText="1"/>
    </xf>
    <xf numFmtId="3" fontId="35" fillId="0" borderId="52" xfId="37" applyFont="1" applyFill="1" applyBorder="1" applyAlignment="1" applyProtection="1">
      <alignment horizontal="right" vertical="center" wrapText="1"/>
    </xf>
    <xf numFmtId="3" fontId="35" fillId="0" borderId="53" xfId="37" applyFont="1" applyFill="1" applyBorder="1" applyAlignment="1" applyProtection="1">
      <alignment horizontal="right" vertical="center" wrapText="1"/>
    </xf>
    <xf numFmtId="3" fontId="35" fillId="0" borderId="56" xfId="37" applyFont="1" applyFill="1" applyBorder="1" applyAlignment="1" applyProtection="1">
      <alignment horizontal="right" vertical="center" wrapText="1"/>
    </xf>
    <xf numFmtId="3" fontId="35" fillId="0" borderId="57" xfId="37" applyFont="1" applyFill="1" applyBorder="1" applyAlignment="1" applyProtection="1">
      <alignment horizontal="right" vertical="center" wrapText="1"/>
    </xf>
    <xf numFmtId="3" fontId="34" fillId="0" borderId="52" xfId="31" applyNumberFormat="1" applyFont="1" applyBorder="1" applyAlignment="1" applyProtection="1">
      <alignment horizontal="right"/>
    </xf>
    <xf numFmtId="3" fontId="34" fillId="0" borderId="56" xfId="31" applyNumberFormat="1" applyFont="1" applyBorder="1" applyAlignment="1" applyProtection="1">
      <alignment horizontal="right"/>
    </xf>
    <xf numFmtId="0" fontId="33" fillId="29" borderId="62" xfId="31" applyFont="1" applyFill="1" applyBorder="1" applyAlignment="1">
      <alignment horizontal="center" vertical="center"/>
    </xf>
    <xf numFmtId="3" fontId="33" fillId="26" borderId="74" xfId="31" applyNumberFormat="1" applyFont="1" applyFill="1" applyBorder="1" applyAlignment="1">
      <alignment horizontal="center"/>
    </xf>
    <xf numFmtId="173" fontId="33" fillId="0" borderId="62" xfId="37" applyNumberFormat="1" applyFont="1" applyFill="1" applyBorder="1" applyAlignment="1" applyProtection="1">
      <alignment horizontal="center" vertical="center" wrapText="1"/>
    </xf>
    <xf numFmtId="173" fontId="35" fillId="0" borderId="62" xfId="37" applyNumberFormat="1" applyFont="1" applyFill="1" applyBorder="1" applyAlignment="1" applyProtection="1">
      <alignment horizontal="right" vertical="center" wrapText="1"/>
    </xf>
    <xf numFmtId="173" fontId="35" fillId="0" borderId="78" xfId="37" applyNumberFormat="1" applyFont="1" applyFill="1" applyBorder="1" applyAlignment="1" applyProtection="1">
      <alignment horizontal="right" vertical="center" wrapText="1"/>
    </xf>
    <xf numFmtId="3" fontId="33" fillId="26" borderId="72" xfId="31" applyNumberFormat="1" applyFont="1" applyFill="1" applyBorder="1" applyAlignment="1">
      <alignment horizontal="center"/>
    </xf>
    <xf numFmtId="173" fontId="33" fillId="0" borderId="32" xfId="37" applyNumberFormat="1" applyFont="1" applyFill="1" applyBorder="1" applyAlignment="1" applyProtection="1">
      <alignment horizontal="center" vertical="center" wrapText="1"/>
    </xf>
    <xf numFmtId="173" fontId="35" fillId="0" borderId="32" xfId="37" applyNumberFormat="1" applyFont="1" applyFill="1" applyBorder="1" applyAlignment="1" applyProtection="1">
      <alignment horizontal="right" vertical="center" wrapText="1"/>
    </xf>
    <xf numFmtId="173" fontId="35" fillId="0" borderId="79" xfId="37" applyNumberFormat="1" applyFont="1" applyFill="1" applyBorder="1" applyAlignment="1" applyProtection="1">
      <alignment horizontal="right" vertical="center" wrapText="1"/>
    </xf>
    <xf numFmtId="3" fontId="33" fillId="26" borderId="75" xfId="31" applyNumberFormat="1" applyFont="1" applyFill="1" applyBorder="1" applyAlignment="1">
      <alignment horizontal="center"/>
    </xf>
    <xf numFmtId="173" fontId="33" fillId="0" borderId="52" xfId="37" applyNumberFormat="1" applyFont="1" applyFill="1" applyBorder="1" applyAlignment="1" applyProtection="1">
      <alignment horizontal="center" vertical="center" wrapText="1"/>
    </xf>
    <xf numFmtId="173" fontId="35" fillId="0" borderId="52" xfId="37" applyNumberFormat="1" applyFont="1" applyFill="1" applyBorder="1" applyAlignment="1" applyProtection="1">
      <alignment horizontal="right" vertical="center" wrapText="1"/>
    </xf>
    <xf numFmtId="173" fontId="35" fillId="0" borderId="56" xfId="37" applyNumberFormat="1" applyFont="1" applyFill="1" applyBorder="1" applyAlignment="1" applyProtection="1">
      <alignment horizontal="right" vertical="center" wrapText="1"/>
    </xf>
    <xf numFmtId="0" fontId="34" fillId="0" borderId="60" xfId="49" applyFont="1" applyFill="1" applyBorder="1" applyAlignment="1" applyProtection="1">
      <alignment horizontal="left" vertical="center" wrapText="1"/>
    </xf>
    <xf numFmtId="0" fontId="33" fillId="0" borderId="74" xfId="49" applyFont="1" applyFill="1" applyBorder="1" applyAlignment="1" applyProtection="1">
      <alignment horizontal="left" vertical="center" wrapText="1"/>
    </xf>
    <xf numFmtId="0" fontId="33" fillId="0" borderId="62" xfId="49" applyFont="1" applyFill="1" applyBorder="1" applyAlignment="1" applyProtection="1">
      <alignment horizontal="left" vertical="center" wrapText="1"/>
    </xf>
    <xf numFmtId="1" fontId="34" fillId="0" borderId="32" xfId="21" applyNumberFormat="1" applyFont="1" applyFill="1" applyBorder="1">
      <alignment horizontal="center" vertical="center" wrapText="1"/>
    </xf>
    <xf numFmtId="173" fontId="33" fillId="0" borderId="32" xfId="21" applyNumberFormat="1" applyFont="1" applyFill="1" applyBorder="1">
      <alignment horizontal="center" vertical="center" wrapText="1"/>
    </xf>
    <xf numFmtId="3" fontId="34" fillId="0" borderId="32" xfId="21" applyNumberFormat="1" applyFont="1" applyFill="1" applyBorder="1">
      <alignment horizontal="center" vertical="center" wrapText="1"/>
    </xf>
    <xf numFmtId="173" fontId="33" fillId="0" borderId="75" xfId="21" applyNumberFormat="1" applyFont="1" applyFill="1" applyBorder="1">
      <alignment horizontal="center" vertical="center" wrapText="1"/>
    </xf>
    <xf numFmtId="1" fontId="34" fillId="0" borderId="52" xfId="21" applyNumberFormat="1" applyFont="1" applyFill="1" applyBorder="1">
      <alignment horizontal="center" vertical="center" wrapText="1"/>
    </xf>
    <xf numFmtId="173" fontId="33" fillId="0" borderId="52" xfId="21" applyNumberFormat="1" applyFont="1" applyFill="1" applyBorder="1">
      <alignment horizontal="center" vertical="center" wrapText="1"/>
    </xf>
    <xf numFmtId="3" fontId="34" fillId="0" borderId="52" xfId="21" applyNumberFormat="1" applyFont="1" applyFill="1" applyBorder="1">
      <alignment horizontal="center" vertical="center" wrapText="1"/>
    </xf>
    <xf numFmtId="173" fontId="33" fillId="0" borderId="74" xfId="21" applyNumberFormat="1" applyFont="1" applyFill="1" applyBorder="1">
      <alignment horizontal="center" vertical="center" wrapText="1"/>
    </xf>
    <xf numFmtId="1" fontId="34" fillId="0" borderId="62" xfId="21" applyNumberFormat="1" applyFont="1" applyFill="1" applyBorder="1">
      <alignment horizontal="center" vertical="center" wrapText="1"/>
    </xf>
    <xf numFmtId="173" fontId="33" fillId="0" borderId="62" xfId="21" applyNumberFormat="1" applyFont="1" applyFill="1" applyBorder="1">
      <alignment horizontal="center" vertical="center" wrapText="1"/>
    </xf>
    <xf numFmtId="3" fontId="34" fillId="0" borderId="62" xfId="21" applyNumberFormat="1" applyFont="1" applyFill="1" applyBorder="1">
      <alignment horizontal="center" vertical="center" wrapText="1"/>
    </xf>
    <xf numFmtId="3" fontId="34" fillId="32" borderId="1" xfId="49" applyNumberFormat="1" applyFont="1" applyFill="1" applyBorder="1" applyAlignment="1" applyProtection="1">
      <alignment horizontal="right"/>
      <protection locked="0"/>
    </xf>
    <xf numFmtId="3" fontId="34" fillId="32" borderId="8" xfId="49" applyNumberFormat="1" applyFont="1" applyFill="1" applyBorder="1" applyAlignment="1" applyProtection="1">
      <alignment horizontal="right"/>
      <protection locked="0"/>
    </xf>
    <xf numFmtId="3" fontId="34" fillId="32" borderId="3" xfId="49" applyNumberFormat="1" applyFont="1" applyFill="1" applyBorder="1" applyAlignment="1" applyProtection="1">
      <alignment horizontal="right"/>
      <protection locked="0"/>
    </xf>
    <xf numFmtId="0" fontId="34" fillId="0" borderId="33" xfId="31" applyFont="1" applyBorder="1" applyAlignment="1">
      <alignment horizontal="right" wrapText="1"/>
    </xf>
    <xf numFmtId="0" fontId="34" fillId="0" borderId="23" xfId="31" applyFont="1" applyBorder="1" applyAlignment="1">
      <alignment horizontal="right" wrapText="1"/>
    </xf>
    <xf numFmtId="0" fontId="34" fillId="0" borderId="28" xfId="31" applyFont="1" applyBorder="1" applyAlignment="1">
      <alignment horizontal="right" wrapText="1"/>
    </xf>
    <xf numFmtId="3" fontId="38" fillId="0" borderId="7" xfId="32" applyNumberFormat="1" applyFont="1" applyFill="1" applyBorder="1" applyAlignment="1">
      <alignment horizontal="right" vertical="center" wrapText="1"/>
    </xf>
    <xf numFmtId="167" fontId="38" fillId="0" borderId="52" xfId="32" applyNumberFormat="1" applyFont="1" applyFill="1" applyBorder="1" applyAlignment="1" applyProtection="1">
      <alignment horizontal="right" vertical="center"/>
      <protection locked="0"/>
    </xf>
    <xf numFmtId="3" fontId="38" fillId="0" borderId="52" xfId="32" applyNumberFormat="1" applyFont="1" applyFill="1" applyBorder="1" applyAlignment="1">
      <alignment horizontal="right" vertical="center" wrapText="1"/>
    </xf>
    <xf numFmtId="3" fontId="38" fillId="0" borderId="53" xfId="32" applyNumberFormat="1" applyFont="1" applyFill="1" applyBorder="1" applyAlignment="1">
      <alignment horizontal="right" vertical="center" wrapText="1"/>
    </xf>
    <xf numFmtId="0" fontId="40" fillId="22" borderId="38" xfId="32" applyFont="1" applyFill="1" applyBorder="1" applyAlignment="1" applyProtection="1">
      <alignment horizontal="center" vertical="center" wrapText="1"/>
    </xf>
    <xf numFmtId="0" fontId="40" fillId="22" borderId="8" xfId="32" applyFont="1" applyFill="1" applyBorder="1" applyAlignment="1" applyProtection="1">
      <alignment vertical="center" wrapText="1"/>
    </xf>
    <xf numFmtId="167" fontId="40" fillId="22" borderId="38" xfId="48" applyNumberFormat="1" applyFont="1" applyFill="1" applyBorder="1" applyAlignment="1" applyProtection="1">
      <alignment horizontal="right" vertical="center"/>
    </xf>
    <xf numFmtId="167" fontId="40" fillId="22" borderId="9" xfId="48" applyNumberFormat="1" applyFont="1" applyFill="1" applyBorder="1" applyAlignment="1" applyProtection="1">
      <alignment horizontal="right" vertical="center"/>
    </xf>
    <xf numFmtId="167" fontId="40" fillId="22" borderId="10" xfId="48" applyNumberFormat="1" applyFont="1" applyFill="1" applyBorder="1" applyAlignment="1" applyProtection="1">
      <alignment horizontal="right" vertical="center"/>
    </xf>
    <xf numFmtId="0" fontId="4" fillId="21" borderId="0" xfId="0" applyFont="1" applyFill="1" applyBorder="1" applyAlignment="1">
      <alignment horizontal="center" vertical="center" wrapText="1"/>
    </xf>
    <xf numFmtId="0" fontId="13" fillId="21" borderId="0" xfId="0" applyFont="1" applyFill="1" applyBorder="1" applyAlignment="1">
      <alignment horizontal="center" vertical="center"/>
    </xf>
    <xf numFmtId="170" fontId="33" fillId="40" borderId="70" xfId="49" applyNumberFormat="1" applyFont="1" applyFill="1" applyBorder="1" applyAlignment="1" applyProtection="1">
      <alignment horizontal="center" wrapText="1"/>
    </xf>
    <xf numFmtId="0" fontId="4" fillId="0" borderId="54" xfId="0" applyFont="1" applyBorder="1" applyAlignment="1">
      <alignment horizontal="center"/>
    </xf>
    <xf numFmtId="0" fontId="34" fillId="0" borderId="14" xfId="31" applyFont="1" applyBorder="1" applyAlignment="1">
      <alignment horizontal="right" wrapText="1"/>
    </xf>
    <xf numFmtId="0" fontId="4" fillId="3" borderId="31" xfId="0" applyFont="1" applyFill="1" applyBorder="1" applyAlignment="1" applyProtection="1">
      <alignment horizontal="center" vertical="center" wrapText="1"/>
      <protection locked="0"/>
    </xf>
    <xf numFmtId="0" fontId="4" fillId="3" borderId="50" xfId="0" applyFont="1" applyFill="1" applyBorder="1" applyAlignment="1" applyProtection="1">
      <alignment horizontal="center" vertical="center" wrapText="1"/>
      <protection locked="0"/>
    </xf>
    <xf numFmtId="0" fontId="4" fillId="0" borderId="69" xfId="0" applyFont="1" applyFill="1" applyBorder="1" applyAlignment="1">
      <alignment vertical="center" wrapText="1"/>
    </xf>
    <xf numFmtId="0" fontId="4" fillId="0" borderId="55" xfId="0" applyFont="1" applyBorder="1" applyAlignment="1">
      <alignment vertical="center" wrapText="1"/>
    </xf>
    <xf numFmtId="0" fontId="4" fillId="0" borderId="39" xfId="2" applyFont="1" applyBorder="1" applyAlignment="1" applyProtection="1">
      <alignment horizontal="center" vertical="center"/>
    </xf>
    <xf numFmtId="0" fontId="4" fillId="3" borderId="55" xfId="0" applyFont="1" applyFill="1" applyBorder="1" applyAlignment="1" applyProtection="1">
      <alignment horizontal="center" vertical="center" wrapText="1"/>
      <protection locked="0"/>
    </xf>
    <xf numFmtId="0" fontId="4" fillId="29" borderId="7" xfId="0" applyFont="1" applyFill="1" applyBorder="1" applyAlignment="1" applyProtection="1">
      <alignment horizontal="center" vertical="center" wrapText="1"/>
      <protection locked="0"/>
    </xf>
    <xf numFmtId="0" fontId="4" fillId="0" borderId="75" xfId="0" applyFont="1" applyBorder="1" applyAlignment="1">
      <alignment vertical="center"/>
    </xf>
    <xf numFmtId="0" fontId="4" fillId="0" borderId="52" xfId="0" applyFont="1" applyBorder="1" applyAlignment="1">
      <alignment vertical="center"/>
    </xf>
    <xf numFmtId="0" fontId="13" fillId="0" borderId="52" xfId="0" applyFont="1" applyFill="1" applyBorder="1" applyAlignment="1">
      <alignment vertical="center" wrapText="1"/>
    </xf>
    <xf numFmtId="0" fontId="13" fillId="0" borderId="53" xfId="0" applyFont="1" applyBorder="1" applyAlignment="1">
      <alignment vertical="center" wrapText="1"/>
    </xf>
    <xf numFmtId="0" fontId="4" fillId="0" borderId="52" xfId="0" applyFont="1" applyFill="1" applyBorder="1" applyAlignment="1">
      <alignment vertical="center" wrapText="1"/>
    </xf>
    <xf numFmtId="0" fontId="4" fillId="0" borderId="56" xfId="0" applyFont="1" applyBorder="1" applyAlignment="1">
      <alignment vertical="center"/>
    </xf>
    <xf numFmtId="0" fontId="13" fillId="0" borderId="17" xfId="2" applyFont="1" applyBorder="1" applyAlignment="1" applyProtection="1">
      <alignment horizontal="center" vertical="center"/>
    </xf>
    <xf numFmtId="0" fontId="4" fillId="29" borderId="32" xfId="0" applyFont="1" applyFill="1" applyBorder="1" applyAlignment="1" applyProtection="1">
      <alignment horizontal="center" vertical="center" wrapText="1"/>
      <protection locked="0"/>
    </xf>
    <xf numFmtId="0" fontId="4" fillId="29" borderId="17" xfId="0" applyFont="1" applyFill="1" applyBorder="1" applyAlignment="1" applyProtection="1">
      <alignment horizontal="center" vertical="center" wrapText="1"/>
      <protection locked="0"/>
    </xf>
    <xf numFmtId="0" fontId="4" fillId="3" borderId="74" xfId="0" applyFont="1" applyFill="1" applyBorder="1" applyAlignment="1" applyProtection="1">
      <alignment horizontal="center" vertical="center" wrapText="1"/>
      <protection locked="0"/>
    </xf>
    <xf numFmtId="0" fontId="4" fillId="3" borderId="62" xfId="0" applyFont="1" applyFill="1" applyBorder="1" applyAlignment="1" applyProtection="1">
      <alignment horizontal="center" vertical="center" wrapText="1"/>
      <protection locked="0"/>
    </xf>
    <xf numFmtId="0" fontId="4" fillId="29" borderId="62" xfId="0" applyFont="1" applyFill="1" applyBorder="1" applyAlignment="1" applyProtection="1">
      <alignment horizontal="center" vertical="center" wrapText="1"/>
      <protection locked="0"/>
    </xf>
    <xf numFmtId="0" fontId="4" fillId="29" borderId="15" xfId="0" applyFont="1" applyFill="1" applyBorder="1" applyAlignment="1" applyProtection="1">
      <alignment horizontal="center" vertical="center" wrapText="1"/>
      <protection locked="0"/>
    </xf>
    <xf numFmtId="3" fontId="34" fillId="29" borderId="17" xfId="32" applyNumberFormat="1" applyFont="1" applyFill="1" applyBorder="1" applyAlignment="1">
      <alignment horizontal="center" vertical="center" wrapText="1"/>
    </xf>
    <xf numFmtId="0" fontId="4" fillId="30" borderId="24" xfId="0" applyFont="1" applyFill="1" applyBorder="1" applyAlignment="1">
      <alignment horizontal="right" vertical="center"/>
    </xf>
    <xf numFmtId="0" fontId="4" fillId="30" borderId="23" xfId="0" applyFont="1" applyFill="1" applyBorder="1" applyAlignment="1">
      <alignment horizontal="right" vertical="center"/>
    </xf>
    <xf numFmtId="0" fontId="4" fillId="30" borderId="15" xfId="0" applyFont="1" applyFill="1" applyBorder="1" applyAlignment="1">
      <alignment horizontal="right" vertical="center"/>
    </xf>
    <xf numFmtId="3" fontId="39" fillId="0" borderId="7" xfId="0" applyNumberFormat="1" applyFont="1" applyFill="1" applyBorder="1" applyAlignment="1">
      <alignment horizontal="center" vertical="center"/>
    </xf>
    <xf numFmtId="4" fontId="33" fillId="29" borderId="7" xfId="0" applyNumberFormat="1" applyFont="1" applyFill="1" applyBorder="1" applyAlignment="1">
      <alignment horizontal="center" vertical="center"/>
    </xf>
    <xf numFmtId="4" fontId="34" fillId="29" borderId="7" xfId="0" applyNumberFormat="1" applyFont="1" applyFill="1" applyBorder="1" applyAlignment="1">
      <alignment horizontal="center" vertical="center"/>
    </xf>
    <xf numFmtId="3" fontId="34" fillId="30" borderId="53" xfId="0" applyNumberFormat="1" applyFont="1" applyFill="1" applyBorder="1" applyAlignment="1">
      <alignment horizontal="center" vertical="center"/>
    </xf>
    <xf numFmtId="4" fontId="33" fillId="29" borderId="53" xfId="0" applyNumberFormat="1" applyFont="1" applyFill="1" applyBorder="1" applyAlignment="1">
      <alignment horizontal="center" vertical="center"/>
    </xf>
    <xf numFmtId="3" fontId="34" fillId="30" borderId="52" xfId="0" applyNumberFormat="1" applyFont="1" applyFill="1" applyBorder="1" applyAlignment="1">
      <alignment horizontal="center" vertical="center"/>
    </xf>
    <xf numFmtId="3" fontId="33" fillId="30" borderId="52" xfId="0" applyNumberFormat="1" applyFont="1" applyFill="1" applyBorder="1" applyAlignment="1">
      <alignment horizontal="center" vertical="center"/>
    </xf>
    <xf numFmtId="4" fontId="33" fillId="29" borderId="52" xfId="0" applyNumberFormat="1" applyFont="1" applyFill="1" applyBorder="1" applyAlignment="1">
      <alignment horizontal="center" vertical="center"/>
    </xf>
    <xf numFmtId="0" fontId="34" fillId="30" borderId="53" xfId="32" applyFont="1" applyFill="1" applyBorder="1" applyAlignment="1" applyProtection="1">
      <alignment horizontal="left" vertical="center" wrapText="1"/>
    </xf>
    <xf numFmtId="3" fontId="39" fillId="0" borderId="52" xfId="0" applyNumberFormat="1" applyFont="1" applyFill="1" applyBorder="1" applyAlignment="1">
      <alignment horizontal="center" vertical="center"/>
    </xf>
    <xf numFmtId="3" fontId="39" fillId="0" borderId="53" xfId="0" applyNumberFormat="1" applyFont="1" applyFill="1" applyBorder="1" applyAlignment="1">
      <alignment horizontal="center" vertical="center"/>
    </xf>
    <xf numFmtId="3" fontId="34" fillId="0" borderId="52" xfId="0" applyNumberFormat="1" applyFont="1" applyFill="1" applyBorder="1" applyAlignment="1">
      <alignment horizontal="center" vertical="center"/>
    </xf>
    <xf numFmtId="3" fontId="34" fillId="0" borderId="53" xfId="0" applyNumberFormat="1" applyFont="1" applyFill="1" applyBorder="1" applyAlignment="1">
      <alignment horizontal="center" vertical="center"/>
    </xf>
    <xf numFmtId="4" fontId="34" fillId="29" borderId="52" xfId="0" applyNumberFormat="1" applyFont="1" applyFill="1" applyBorder="1" applyAlignment="1">
      <alignment horizontal="center" vertical="center"/>
    </xf>
    <xf numFmtId="4" fontId="34" fillId="29" borderId="53" xfId="0" applyNumberFormat="1" applyFont="1" applyFill="1" applyBorder="1" applyAlignment="1">
      <alignment horizontal="center" vertical="center"/>
    </xf>
    <xf numFmtId="3" fontId="33" fillId="29" borderId="56" xfId="0" applyNumberFormat="1" applyFont="1" applyFill="1" applyBorder="1" applyAlignment="1">
      <alignment horizontal="center" vertical="center"/>
    </xf>
    <xf numFmtId="3" fontId="33" fillId="29" borderId="77" xfId="0" applyNumberFormat="1" applyFont="1" applyFill="1" applyBorder="1" applyAlignment="1">
      <alignment horizontal="center" vertical="center"/>
    </xf>
    <xf numFmtId="3" fontId="33" fillId="29" borderId="57" xfId="0" applyNumberFormat="1" applyFont="1" applyFill="1" applyBorder="1" applyAlignment="1">
      <alignment horizontal="center" vertical="center"/>
    </xf>
    <xf numFmtId="3" fontId="33" fillId="30" borderId="56" xfId="0" applyNumberFormat="1" applyFont="1" applyFill="1" applyBorder="1" applyAlignment="1">
      <alignment horizontal="center" vertical="center"/>
    </xf>
    <xf numFmtId="3" fontId="39" fillId="0" borderId="75" xfId="0" applyNumberFormat="1" applyFont="1" applyFill="1" applyBorder="1" applyAlignment="1">
      <alignment horizontal="center" vertical="center"/>
    </xf>
    <xf numFmtId="3" fontId="39" fillId="0" borderId="73" xfId="0" applyNumberFormat="1" applyFont="1" applyFill="1" applyBorder="1" applyAlignment="1">
      <alignment horizontal="center" vertical="center"/>
    </xf>
    <xf numFmtId="3" fontId="39" fillId="0" borderId="76" xfId="0" applyNumberFormat="1" applyFont="1" applyFill="1" applyBorder="1" applyAlignment="1">
      <alignment horizontal="center" vertical="center"/>
    </xf>
    <xf numFmtId="3" fontId="39" fillId="30" borderId="56" xfId="0" applyNumberFormat="1" applyFont="1" applyFill="1" applyBorder="1" applyAlignment="1">
      <alignment horizontal="center" vertical="center"/>
    </xf>
    <xf numFmtId="0" fontId="33" fillId="30" borderId="50" xfId="32" applyFont="1" applyFill="1" applyBorder="1" applyAlignment="1" applyProtection="1">
      <alignment horizontal="left" vertical="center" wrapText="1"/>
    </xf>
    <xf numFmtId="4" fontId="33" fillId="29" borderId="49" xfId="0" applyNumberFormat="1" applyFont="1" applyFill="1" applyBorder="1" applyAlignment="1">
      <alignment horizontal="center" vertical="center"/>
    </xf>
    <xf numFmtId="4" fontId="33" fillId="29" borderId="31" xfId="0" applyNumberFormat="1" applyFont="1" applyFill="1" applyBorder="1" applyAlignment="1">
      <alignment horizontal="center" vertical="center"/>
    </xf>
    <xf numFmtId="4" fontId="33" fillId="29" borderId="50" xfId="0" applyNumberFormat="1" applyFont="1" applyFill="1" applyBorder="1" applyAlignment="1">
      <alignment horizontal="center" vertical="center"/>
    </xf>
    <xf numFmtId="3" fontId="34" fillId="0" borderId="75" xfId="0" applyNumberFormat="1" applyFont="1" applyFill="1" applyBorder="1" applyAlignment="1">
      <alignment horizontal="center" vertical="center"/>
    </xf>
    <xf numFmtId="3" fontId="34" fillId="0" borderId="73" xfId="0" applyNumberFormat="1" applyFont="1" applyFill="1" applyBorder="1" applyAlignment="1">
      <alignment horizontal="center" vertical="center"/>
    </xf>
    <xf numFmtId="3" fontId="34" fillId="0" borderId="76" xfId="0" applyNumberFormat="1" applyFont="1" applyFill="1" applyBorder="1" applyAlignment="1">
      <alignment horizontal="center" vertical="center"/>
    </xf>
    <xf numFmtId="3" fontId="33" fillId="30" borderId="75" xfId="0" applyNumberFormat="1" applyFont="1" applyFill="1" applyBorder="1" applyAlignment="1">
      <alignment horizontal="center" vertical="center"/>
    </xf>
    <xf numFmtId="3" fontId="34" fillId="0" borderId="56" xfId="0" applyNumberFormat="1" applyFont="1" applyFill="1" applyBorder="1" applyAlignment="1">
      <alignment horizontal="center" vertical="center"/>
    </xf>
    <xf numFmtId="3" fontId="34" fillId="0" borderId="57" xfId="0" applyNumberFormat="1" applyFont="1" applyFill="1" applyBorder="1" applyAlignment="1">
      <alignment horizontal="center" vertical="center"/>
    </xf>
    <xf numFmtId="49" fontId="66" fillId="21" borderId="34" xfId="32" applyNumberFormat="1" applyFont="1" applyFill="1" applyBorder="1" applyAlignment="1" applyProtection="1">
      <alignment horizontal="left" vertical="center"/>
    </xf>
    <xf numFmtId="0" fontId="128" fillId="0" borderId="0" xfId="2" applyFont="1" applyAlignment="1" applyProtection="1"/>
    <xf numFmtId="0" fontId="128" fillId="0" borderId="23" xfId="2" applyNumberFormat="1" applyFont="1" applyFill="1" applyBorder="1" applyAlignment="1" applyProtection="1">
      <alignment horizontal="left" vertical="center"/>
      <protection locked="0"/>
    </xf>
    <xf numFmtId="0" fontId="4" fillId="0" borderId="44" xfId="0" applyFont="1" applyFill="1" applyBorder="1" applyAlignment="1">
      <alignment vertical="center"/>
    </xf>
    <xf numFmtId="0" fontId="4" fillId="0" borderId="50" xfId="0" applyFont="1" applyFill="1" applyBorder="1" applyAlignment="1">
      <alignment vertical="center" wrapText="1"/>
    </xf>
    <xf numFmtId="9" fontId="33" fillId="30" borderId="7" xfId="51" applyNumberFormat="1" applyFont="1" applyFill="1" applyBorder="1" applyAlignment="1">
      <alignment horizontal="center" vertical="center"/>
    </xf>
    <xf numFmtId="9" fontId="33" fillId="30" borderId="53" xfId="51" applyNumberFormat="1" applyFont="1" applyFill="1" applyBorder="1" applyAlignment="1">
      <alignment horizontal="center" vertical="center"/>
    </xf>
    <xf numFmtId="9" fontId="33" fillId="30" borderId="52" xfId="51" applyNumberFormat="1" applyFont="1" applyFill="1" applyBorder="1" applyAlignment="1">
      <alignment horizontal="center" vertical="center"/>
    </xf>
    <xf numFmtId="9" fontId="33" fillId="30" borderId="77" xfId="51" applyNumberFormat="1" applyFont="1" applyFill="1" applyBorder="1" applyAlignment="1">
      <alignment horizontal="center" vertical="center"/>
    </xf>
    <xf numFmtId="9" fontId="33" fillId="30" borderId="57" xfId="51" applyNumberFormat="1" applyFont="1" applyFill="1" applyBorder="1" applyAlignment="1">
      <alignment horizontal="center" vertical="center"/>
    </xf>
    <xf numFmtId="9" fontId="33" fillId="30" borderId="56" xfId="51" applyNumberFormat="1" applyFont="1" applyFill="1" applyBorder="1" applyAlignment="1">
      <alignment horizontal="center" vertical="center"/>
    </xf>
    <xf numFmtId="3" fontId="35" fillId="0" borderId="52" xfId="32" applyNumberFormat="1" applyFont="1" applyFill="1" applyBorder="1" applyAlignment="1">
      <alignment horizontal="center" vertical="center"/>
    </xf>
    <xf numFmtId="3" fontId="35" fillId="0" borderId="53" xfId="32" applyNumberFormat="1" applyFont="1" applyFill="1" applyBorder="1" applyAlignment="1">
      <alignment horizontal="center" vertical="center"/>
    </xf>
    <xf numFmtId="3" fontId="34" fillId="0" borderId="32" xfId="32" applyNumberFormat="1" applyFont="1" applyFill="1" applyBorder="1" applyAlignment="1">
      <alignment horizontal="center" vertical="center"/>
    </xf>
    <xf numFmtId="3" fontId="34" fillId="0" borderId="7" xfId="32" applyNumberFormat="1" applyFont="1" applyFill="1" applyBorder="1" applyAlignment="1">
      <alignment horizontal="center" vertical="center"/>
    </xf>
    <xf numFmtId="3" fontId="34" fillId="0" borderId="62" xfId="32" applyNumberFormat="1" applyFont="1" applyFill="1" applyBorder="1" applyAlignment="1">
      <alignment horizontal="center" vertical="center"/>
    </xf>
    <xf numFmtId="0" fontId="65" fillId="29" borderId="0" xfId="0" applyFont="1" applyFill="1"/>
    <xf numFmtId="3" fontId="60" fillId="29" borderId="35" xfId="32" applyNumberFormat="1" applyFont="1" applyFill="1" applyBorder="1" applyAlignment="1">
      <alignment horizontal="center" vertical="center"/>
    </xf>
    <xf numFmtId="0" fontId="116" fillId="30" borderId="0" xfId="32" applyFont="1" applyFill="1"/>
    <xf numFmtId="0" fontId="129" fillId="30" borderId="0" xfId="32" applyFont="1" applyFill="1"/>
    <xf numFmtId="0" fontId="130" fillId="30" borderId="0" xfId="32" applyFont="1" applyFill="1"/>
    <xf numFmtId="3" fontId="35" fillId="30" borderId="53" xfId="32" applyNumberFormat="1" applyFont="1" applyFill="1" applyBorder="1" applyAlignment="1">
      <alignment horizontal="center"/>
    </xf>
    <xf numFmtId="3" fontId="35" fillId="30" borderId="57" xfId="32" applyNumberFormat="1" applyFont="1" applyFill="1" applyBorder="1" applyAlignment="1">
      <alignment horizontal="center"/>
    </xf>
    <xf numFmtId="3" fontId="33" fillId="34" borderId="75" xfId="0" applyNumberFormat="1" applyFont="1" applyFill="1" applyBorder="1" applyAlignment="1">
      <alignment horizontal="center" vertical="center"/>
    </xf>
    <xf numFmtId="3" fontId="34" fillId="30" borderId="49" xfId="32" applyNumberFormat="1" applyFont="1" applyFill="1" applyBorder="1" applyAlignment="1">
      <alignment horizontal="center"/>
    </xf>
    <xf numFmtId="3" fontId="34" fillId="30" borderId="52" xfId="32" applyNumberFormat="1" applyFont="1" applyFill="1" applyBorder="1" applyAlignment="1">
      <alignment horizontal="center"/>
    </xf>
    <xf numFmtId="3" fontId="34" fillId="30" borderId="47" xfId="32" applyNumberFormat="1" applyFont="1" applyFill="1" applyBorder="1" applyAlignment="1">
      <alignment horizontal="center"/>
    </xf>
    <xf numFmtId="3" fontId="34" fillId="30" borderId="56" xfId="32" applyNumberFormat="1" applyFont="1" applyFill="1" applyBorder="1" applyAlignment="1">
      <alignment horizontal="center"/>
    </xf>
    <xf numFmtId="3" fontId="33" fillId="34" borderId="72" xfId="0" applyNumberFormat="1" applyFont="1" applyFill="1" applyBorder="1" applyAlignment="1">
      <alignment horizontal="center" vertical="center"/>
    </xf>
    <xf numFmtId="3" fontId="4" fillId="30" borderId="32" xfId="32" applyNumberFormat="1" applyFont="1" applyFill="1" applyBorder="1" applyAlignment="1">
      <alignment horizontal="center"/>
    </xf>
    <xf numFmtId="3" fontId="4" fillId="30" borderId="7" xfId="32" applyNumberFormat="1" applyFont="1" applyFill="1" applyBorder="1" applyAlignment="1">
      <alignment horizontal="center"/>
    </xf>
    <xf numFmtId="3" fontId="4" fillId="30" borderId="53" xfId="32" applyNumberFormat="1" applyFont="1" applyFill="1" applyBorder="1" applyAlignment="1">
      <alignment horizontal="center"/>
    </xf>
    <xf numFmtId="3" fontId="4" fillId="30" borderId="52" xfId="32" applyNumberFormat="1" applyFont="1" applyFill="1" applyBorder="1" applyAlignment="1">
      <alignment horizontal="center"/>
    </xf>
    <xf numFmtId="3" fontId="4" fillId="30" borderId="62" xfId="32" applyNumberFormat="1" applyFont="1" applyFill="1" applyBorder="1" applyAlignment="1">
      <alignment horizontal="center"/>
    </xf>
    <xf numFmtId="3" fontId="4" fillId="30" borderId="69" xfId="32" applyNumberFormat="1" applyFont="1" applyFill="1" applyBorder="1" applyAlignment="1">
      <alignment horizontal="center"/>
    </xf>
    <xf numFmtId="3" fontId="4" fillId="30" borderId="63" xfId="32" applyNumberFormat="1" applyFont="1" applyFill="1" applyBorder="1" applyAlignment="1">
      <alignment horizontal="center"/>
    </xf>
    <xf numFmtId="3" fontId="4" fillId="30" borderId="55" xfId="32" applyNumberFormat="1" applyFont="1" applyFill="1" applyBorder="1" applyAlignment="1">
      <alignment horizontal="center"/>
    </xf>
    <xf numFmtId="3" fontId="4" fillId="30" borderId="54" xfId="32" applyNumberFormat="1" applyFont="1" applyFill="1" applyBorder="1" applyAlignment="1">
      <alignment horizontal="center"/>
    </xf>
    <xf numFmtId="3" fontId="4" fillId="30" borderId="64" xfId="32" applyNumberFormat="1" applyFont="1" applyFill="1" applyBorder="1" applyAlignment="1">
      <alignment horizontal="center"/>
    </xf>
    <xf numFmtId="3" fontId="4" fillId="30" borderId="79" xfId="32" applyNumberFormat="1" applyFont="1" applyFill="1" applyBorder="1" applyAlignment="1">
      <alignment horizontal="center"/>
    </xf>
    <xf numFmtId="3" fontId="4" fillId="30" borderId="77" xfId="32" applyNumberFormat="1" applyFont="1" applyFill="1" applyBorder="1" applyAlignment="1">
      <alignment horizontal="center"/>
    </xf>
    <xf numFmtId="3" fontId="4" fillId="30" borderId="57" xfId="32" applyNumberFormat="1" applyFont="1" applyFill="1" applyBorder="1" applyAlignment="1">
      <alignment horizontal="center"/>
    </xf>
    <xf numFmtId="3" fontId="4" fillId="30" borderId="56" xfId="32" applyNumberFormat="1" applyFont="1" applyFill="1" applyBorder="1" applyAlignment="1">
      <alignment horizontal="center"/>
    </xf>
    <xf numFmtId="3" fontId="4" fillId="30" borderId="78" xfId="32" applyNumberFormat="1" applyFont="1" applyFill="1" applyBorder="1" applyAlignment="1">
      <alignment horizontal="center"/>
    </xf>
    <xf numFmtId="3" fontId="33" fillId="34" borderId="72" xfId="32" applyNumberFormat="1" applyFont="1" applyFill="1" applyBorder="1" applyAlignment="1">
      <alignment horizontal="center" vertical="center"/>
    </xf>
    <xf numFmtId="3" fontId="34" fillId="30" borderId="32" xfId="32" applyNumberFormat="1" applyFont="1" applyFill="1" applyBorder="1" applyAlignment="1">
      <alignment horizontal="center"/>
    </xf>
    <xf numFmtId="3" fontId="34" fillId="30" borderId="69" xfId="32" applyNumberFormat="1" applyFont="1" applyFill="1" applyBorder="1" applyAlignment="1">
      <alignment horizontal="center"/>
    </xf>
    <xf numFmtId="9" fontId="34" fillId="30" borderId="72" xfId="1" applyFont="1" applyFill="1" applyBorder="1" applyAlignment="1">
      <alignment horizontal="center"/>
    </xf>
    <xf numFmtId="9" fontId="34" fillId="30" borderId="32" xfId="1" applyFont="1" applyFill="1" applyBorder="1" applyAlignment="1">
      <alignment horizontal="center"/>
    </xf>
    <xf numFmtId="9" fontId="34" fillId="30" borderId="79" xfId="1" applyFont="1" applyFill="1" applyBorder="1" applyAlignment="1">
      <alignment horizontal="center"/>
    </xf>
    <xf numFmtId="3" fontId="39" fillId="34" borderId="76" xfId="32" applyNumberFormat="1" applyFont="1" applyFill="1" applyBorder="1" applyAlignment="1">
      <alignment horizontal="center" vertical="center"/>
    </xf>
    <xf numFmtId="3" fontId="35" fillId="30" borderId="55" xfId="32" applyNumberFormat="1" applyFont="1" applyFill="1" applyBorder="1" applyAlignment="1">
      <alignment horizontal="center"/>
    </xf>
    <xf numFmtId="9" fontId="35" fillId="30" borderId="76" xfId="1" applyFont="1" applyFill="1" applyBorder="1" applyAlignment="1">
      <alignment horizontal="center"/>
    </xf>
    <xf numFmtId="9" fontId="35" fillId="30" borderId="53" xfId="1" applyFont="1" applyFill="1" applyBorder="1" applyAlignment="1">
      <alignment horizontal="center"/>
    </xf>
    <xf numFmtId="9" fontId="35" fillId="30" borderId="57" xfId="1" applyFont="1" applyFill="1" applyBorder="1" applyAlignment="1">
      <alignment horizontal="center"/>
    </xf>
    <xf numFmtId="3" fontId="34" fillId="30" borderId="61" xfId="32" applyNumberFormat="1" applyFont="1" applyFill="1" applyBorder="1" applyAlignment="1">
      <alignment horizontal="center"/>
    </xf>
    <xf numFmtId="3" fontId="34" fillId="30" borderId="110" xfId="32" applyNumberFormat="1" applyFont="1" applyFill="1" applyBorder="1" applyAlignment="1">
      <alignment horizontal="center"/>
    </xf>
    <xf numFmtId="3" fontId="34" fillId="30" borderId="70" xfId="32" applyNumberFormat="1" applyFont="1" applyFill="1" applyBorder="1" applyAlignment="1">
      <alignment horizontal="center"/>
    </xf>
    <xf numFmtId="3" fontId="34" fillId="30" borderId="79" xfId="32" applyNumberFormat="1" applyFont="1" applyFill="1" applyBorder="1" applyAlignment="1">
      <alignment horizontal="center"/>
    </xf>
    <xf numFmtId="3" fontId="35" fillId="30" borderId="44" xfId="32" applyNumberFormat="1" applyFont="1" applyFill="1" applyBorder="1" applyAlignment="1">
      <alignment horizontal="center"/>
    </xf>
    <xf numFmtId="3" fontId="35" fillId="30" borderId="79" xfId="32" applyNumberFormat="1" applyFont="1" applyFill="1" applyBorder="1" applyAlignment="1">
      <alignment horizontal="center"/>
    </xf>
    <xf numFmtId="3" fontId="35" fillId="30" borderId="50" xfId="32" applyNumberFormat="1" applyFont="1" applyFill="1" applyBorder="1" applyAlignment="1">
      <alignment horizontal="center"/>
    </xf>
    <xf numFmtId="3" fontId="35" fillId="30" borderId="48" xfId="32" applyNumberFormat="1" applyFont="1" applyFill="1" applyBorder="1" applyAlignment="1">
      <alignment horizontal="center"/>
    </xf>
    <xf numFmtId="3" fontId="35" fillId="30" borderId="70" xfId="32" applyNumberFormat="1" applyFont="1" applyFill="1" applyBorder="1" applyAlignment="1">
      <alignment horizontal="center"/>
    </xf>
    <xf numFmtId="3" fontId="33" fillId="30" borderId="36" xfId="32" applyNumberFormat="1" applyFont="1" applyFill="1" applyBorder="1" applyAlignment="1">
      <alignment horizontal="center" vertical="center"/>
    </xf>
    <xf numFmtId="3" fontId="33" fillId="34" borderId="29" xfId="32" applyNumberFormat="1" applyFont="1" applyFill="1" applyBorder="1" applyAlignment="1">
      <alignment horizontal="center" vertical="center"/>
    </xf>
    <xf numFmtId="3" fontId="33" fillId="30" borderId="30" xfId="32" applyNumberFormat="1" applyFont="1" applyFill="1" applyBorder="1" applyAlignment="1">
      <alignment horizontal="center" vertical="center"/>
    </xf>
    <xf numFmtId="3" fontId="34" fillId="0" borderId="25" xfId="49" applyNumberFormat="1" applyFont="1" applyFill="1" applyBorder="1" applyAlignment="1">
      <alignment horizontal="center" vertical="center" wrapText="1"/>
    </xf>
    <xf numFmtId="3" fontId="35" fillId="30" borderId="17" xfId="32" applyNumberFormat="1" applyFont="1" applyFill="1" applyBorder="1" applyAlignment="1">
      <alignment horizontal="left" vertical="center" wrapText="1"/>
    </xf>
    <xf numFmtId="3" fontId="35" fillId="0" borderId="17" xfId="32" applyNumberFormat="1" applyFont="1" applyFill="1" applyBorder="1" applyAlignment="1">
      <alignment horizontal="left" vertical="center" wrapText="1"/>
    </xf>
    <xf numFmtId="3" fontId="35" fillId="30" borderId="21" xfId="32" applyNumberFormat="1" applyFont="1" applyFill="1" applyBorder="1" applyAlignment="1">
      <alignment horizontal="left" vertical="center" wrapText="1"/>
    </xf>
    <xf numFmtId="3" fontId="33" fillId="29" borderId="75" xfId="0" applyNumberFormat="1" applyFont="1" applyFill="1" applyBorder="1" applyAlignment="1">
      <alignment horizontal="center" vertical="center"/>
    </xf>
    <xf numFmtId="3" fontId="33" fillId="29" borderId="73" xfId="0" applyNumberFormat="1" applyFont="1" applyFill="1" applyBorder="1" applyAlignment="1">
      <alignment horizontal="center" vertical="center"/>
    </xf>
    <xf numFmtId="3" fontId="33" fillId="29" borderId="76" xfId="0" applyNumberFormat="1" applyFont="1" applyFill="1" applyBorder="1" applyAlignment="1">
      <alignment horizontal="center" vertical="center"/>
    </xf>
    <xf numFmtId="3" fontId="34" fillId="0" borderId="72" xfId="49" applyNumberFormat="1" applyFont="1" applyFill="1" applyBorder="1" applyAlignment="1">
      <alignment horizontal="center" vertical="center" wrapText="1"/>
    </xf>
    <xf numFmtId="164" fontId="38" fillId="0" borderId="0" xfId="55" applyFont="1" applyAlignment="1" applyProtection="1">
      <alignment vertical="center"/>
    </xf>
    <xf numFmtId="10" fontId="40" fillId="22" borderId="53" xfId="41" applyNumberFormat="1" applyFont="1" applyFill="1" applyBorder="1" applyAlignment="1" applyProtection="1">
      <alignment horizontal="center" vertical="center"/>
    </xf>
    <xf numFmtId="168" fontId="34" fillId="30" borderId="15" xfId="49" applyNumberFormat="1" applyFont="1" applyFill="1" applyBorder="1" applyAlignment="1" applyProtection="1">
      <alignment horizontal="center" vertical="center" wrapText="1"/>
    </xf>
    <xf numFmtId="0" fontId="35" fillId="30" borderId="53" xfId="49" applyFont="1" applyFill="1" applyBorder="1" applyAlignment="1" applyProtection="1">
      <alignment horizontal="left" vertical="center" wrapText="1" indent="1"/>
    </xf>
    <xf numFmtId="0" fontId="34" fillId="0" borderId="53" xfId="49" applyFont="1" applyFill="1" applyBorder="1" applyAlignment="1" applyProtection="1">
      <alignment horizontal="left" vertical="center" wrapText="1"/>
    </xf>
    <xf numFmtId="0" fontId="34" fillId="30" borderId="53" xfId="49" applyFont="1" applyFill="1" applyBorder="1" applyAlignment="1" applyProtection="1">
      <alignment horizontal="left" vertical="center" wrapText="1"/>
    </xf>
    <xf numFmtId="0" fontId="34" fillId="30" borderId="76" xfId="49" applyFont="1" applyFill="1" applyBorder="1" applyAlignment="1" applyProtection="1">
      <alignment horizontal="left" vertical="center" wrapText="1"/>
    </xf>
    <xf numFmtId="0" fontId="34" fillId="0" borderId="76" xfId="49" applyFont="1" applyFill="1" applyBorder="1" applyAlignment="1" applyProtection="1">
      <alignment horizontal="left" vertical="center" wrapText="1"/>
    </xf>
    <xf numFmtId="0" fontId="34" fillId="30" borderId="57" xfId="49" applyFont="1" applyFill="1" applyBorder="1" applyAlignment="1" applyProtection="1">
      <alignment horizontal="left" vertical="center" wrapText="1"/>
    </xf>
    <xf numFmtId="0" fontId="34" fillId="0" borderId="50" xfId="49" applyFont="1" applyFill="1" applyBorder="1" applyAlignment="1" applyProtection="1">
      <alignment horizontal="left" vertical="center" wrapText="1"/>
    </xf>
    <xf numFmtId="0" fontId="34" fillId="30" borderId="48" xfId="31" applyFont="1" applyFill="1" applyBorder="1" applyAlignment="1" applyProtection="1">
      <alignment horizontal="left" vertical="center" wrapText="1"/>
    </xf>
    <xf numFmtId="0" fontId="38" fillId="0" borderId="0" xfId="40" applyFont="1" applyBorder="1" applyAlignment="1" applyProtection="1">
      <alignment wrapText="1"/>
    </xf>
    <xf numFmtId="168" fontId="85" fillId="3" borderId="7" xfId="49" applyNumberFormat="1" applyFont="1" applyFill="1" applyBorder="1" applyAlignment="1" applyProtection="1">
      <alignment horizontal="center" vertical="center" wrapText="1"/>
      <protection locked="0"/>
    </xf>
    <xf numFmtId="176" fontId="38" fillId="0" borderId="0" xfId="55" applyNumberFormat="1" applyFont="1" applyAlignment="1" applyProtection="1">
      <alignment vertical="center"/>
    </xf>
    <xf numFmtId="9" fontId="33" fillId="30" borderId="29" xfId="1" applyFont="1" applyFill="1" applyBorder="1" applyAlignment="1">
      <alignment horizontal="center" vertical="center"/>
    </xf>
    <xf numFmtId="9" fontId="33" fillId="30" borderId="24" xfId="1" applyFont="1" applyFill="1" applyBorder="1" applyAlignment="1">
      <alignment horizontal="center" vertical="center"/>
    </xf>
    <xf numFmtId="9" fontId="33" fillId="30" borderId="30" xfId="1" applyFont="1" applyFill="1" applyBorder="1" applyAlignment="1">
      <alignment horizontal="center" vertical="center"/>
    </xf>
    <xf numFmtId="3" fontId="4" fillId="0" borderId="52" xfId="32" applyNumberFormat="1" applyFont="1" applyFill="1" applyBorder="1" applyAlignment="1">
      <alignment horizontal="center"/>
    </xf>
    <xf numFmtId="3" fontId="4" fillId="0" borderId="54" xfId="32" applyNumberFormat="1" applyFont="1" applyFill="1" applyBorder="1" applyAlignment="1">
      <alignment horizontal="center"/>
    </xf>
    <xf numFmtId="0" fontId="34" fillId="0" borderId="21" xfId="49" applyFont="1" applyFill="1" applyBorder="1" applyAlignment="1">
      <alignment horizontal="center" vertical="center"/>
    </xf>
    <xf numFmtId="49" fontId="33" fillId="21" borderId="52" xfId="32" applyNumberFormat="1" applyFont="1" applyFill="1" applyBorder="1" applyAlignment="1" applyProtection="1">
      <alignment horizontal="center" vertical="center" wrapText="1"/>
    </xf>
    <xf numFmtId="0" fontId="33" fillId="0" borderId="23" xfId="32" applyFont="1" applyFill="1" applyBorder="1" applyAlignment="1" applyProtection="1">
      <alignment vertical="center" wrapText="1"/>
    </xf>
    <xf numFmtId="167" fontId="33" fillId="21" borderId="52" xfId="32" applyNumberFormat="1" applyFont="1" applyFill="1" applyBorder="1" applyAlignment="1" applyProtection="1">
      <alignment horizontal="right" vertical="center"/>
      <protection locked="0"/>
    </xf>
    <xf numFmtId="167" fontId="33" fillId="21" borderId="7" xfId="32" applyNumberFormat="1" applyFont="1" applyFill="1" applyBorder="1" applyAlignment="1" applyProtection="1">
      <alignment horizontal="right" vertical="center"/>
      <protection locked="0"/>
    </xf>
    <xf numFmtId="167" fontId="33" fillId="21" borderId="53" xfId="32" applyNumberFormat="1" applyFont="1" applyFill="1" applyBorder="1" applyAlignment="1" applyProtection="1">
      <alignment horizontal="right" vertical="center"/>
      <protection locked="0"/>
    </xf>
    <xf numFmtId="0" fontId="33" fillId="0" borderId="0" xfId="32" applyFont="1" applyAlignment="1" applyProtection="1">
      <alignment vertical="center"/>
    </xf>
    <xf numFmtId="49" fontId="33" fillId="0" borderId="52" xfId="32" applyNumberFormat="1" applyFont="1" applyFill="1" applyBorder="1" applyAlignment="1" applyProtection="1">
      <alignment horizontal="center" vertical="center" wrapText="1"/>
    </xf>
    <xf numFmtId="167" fontId="33" fillId="0" borderId="52" xfId="32" applyNumberFormat="1" applyFont="1" applyFill="1" applyBorder="1" applyAlignment="1" applyProtection="1">
      <alignment horizontal="right" vertical="center"/>
      <protection locked="0"/>
    </xf>
    <xf numFmtId="167" fontId="33" fillId="0" borderId="7" xfId="32" applyNumberFormat="1" applyFont="1" applyFill="1" applyBorder="1" applyAlignment="1" applyProtection="1">
      <alignment horizontal="right" vertical="center"/>
      <protection locked="0"/>
    </xf>
    <xf numFmtId="167" fontId="33" fillId="0" borderId="53" xfId="32" applyNumberFormat="1" applyFont="1" applyFill="1" applyBorder="1" applyAlignment="1" applyProtection="1">
      <alignment horizontal="right" vertical="center"/>
      <protection locked="0"/>
    </xf>
    <xf numFmtId="49" fontId="33" fillId="21" borderId="49" xfId="32" applyNumberFormat="1" applyFont="1" applyFill="1" applyBorder="1" applyAlignment="1" applyProtection="1">
      <alignment horizontal="center" vertical="center" wrapText="1"/>
    </xf>
    <xf numFmtId="0" fontId="33" fillId="0" borderId="33" xfId="32" applyFont="1" applyFill="1" applyBorder="1" applyAlignment="1" applyProtection="1">
      <alignment vertical="center" wrapText="1"/>
    </xf>
    <xf numFmtId="167" fontId="33" fillId="21" borderId="49" xfId="32" applyNumberFormat="1" applyFont="1" applyFill="1" applyBorder="1" applyAlignment="1" applyProtection="1">
      <alignment horizontal="right" vertical="center"/>
      <protection locked="0"/>
    </xf>
    <xf numFmtId="167" fontId="33" fillId="21" borderId="31" xfId="32" applyNumberFormat="1" applyFont="1" applyFill="1" applyBorder="1" applyAlignment="1" applyProtection="1">
      <alignment horizontal="right" vertical="center"/>
      <protection locked="0"/>
    </xf>
    <xf numFmtId="167" fontId="33" fillId="21" borderId="50" xfId="32" applyNumberFormat="1" applyFont="1" applyFill="1" applyBorder="1" applyAlignment="1" applyProtection="1">
      <alignment horizontal="right" vertical="center"/>
      <protection locked="0"/>
    </xf>
    <xf numFmtId="49" fontId="33" fillId="0" borderId="52" xfId="32" applyNumberFormat="1" applyFont="1" applyBorder="1" applyAlignment="1" applyProtection="1">
      <alignment horizontal="center" vertical="center" wrapText="1"/>
    </xf>
    <xf numFmtId="3" fontId="33" fillId="0" borderId="106" xfId="32" applyNumberFormat="1" applyFont="1" applyFill="1" applyBorder="1" applyAlignment="1">
      <alignment horizontal="right" vertical="center" wrapText="1"/>
    </xf>
    <xf numFmtId="3" fontId="33" fillId="0" borderId="7" xfId="32" applyNumberFormat="1" applyFont="1" applyFill="1" applyBorder="1" applyAlignment="1">
      <alignment horizontal="right" vertical="center" wrapText="1"/>
    </xf>
    <xf numFmtId="3" fontId="33" fillId="0" borderId="53" xfId="32" applyNumberFormat="1" applyFont="1" applyFill="1" applyBorder="1" applyAlignment="1">
      <alignment horizontal="right" vertical="center" wrapText="1"/>
    </xf>
    <xf numFmtId="0" fontId="33" fillId="0" borderId="54" xfId="32" applyFont="1" applyBorder="1" applyAlignment="1" applyProtection="1">
      <alignment horizontal="center" vertical="center"/>
    </xf>
    <xf numFmtId="0" fontId="33" fillId="0" borderId="37" xfId="32" applyFont="1" applyFill="1" applyBorder="1" applyAlignment="1" applyProtection="1">
      <alignment vertical="center" wrapText="1"/>
    </xf>
    <xf numFmtId="167" fontId="33" fillId="21" borderId="54" xfId="32" applyNumberFormat="1" applyFont="1" applyFill="1" applyBorder="1" applyAlignment="1" applyProtection="1">
      <alignment horizontal="right" vertical="center"/>
      <protection locked="0"/>
    </xf>
    <xf numFmtId="167" fontId="33" fillId="21" borderId="63" xfId="32" applyNumberFormat="1" applyFont="1" applyFill="1" applyBorder="1" applyAlignment="1" applyProtection="1">
      <alignment horizontal="right" vertical="center"/>
      <protection locked="0"/>
    </xf>
    <xf numFmtId="167" fontId="33" fillId="21" borderId="55" xfId="32" applyNumberFormat="1" applyFont="1" applyFill="1" applyBorder="1" applyAlignment="1" applyProtection="1">
      <alignment horizontal="right" vertical="center"/>
      <protection locked="0"/>
    </xf>
    <xf numFmtId="0" fontId="0" fillId="29" borderId="0" xfId="0" applyFill="1" applyAlignment="1">
      <alignment horizontal="center" vertical="center"/>
    </xf>
    <xf numFmtId="0" fontId="0" fillId="29" borderId="0" xfId="0" applyFill="1" applyAlignment="1">
      <alignment vertical="center"/>
    </xf>
    <xf numFmtId="0" fontId="0" fillId="30" borderId="0" xfId="0" applyFill="1" applyAlignment="1">
      <alignment vertical="center"/>
    </xf>
    <xf numFmtId="0" fontId="0" fillId="30" borderId="0" xfId="0" applyFill="1" applyAlignment="1">
      <alignment horizontal="center" vertical="center"/>
    </xf>
    <xf numFmtId="0" fontId="11" fillId="29" borderId="0" xfId="0" applyFont="1" applyFill="1" applyBorder="1" applyAlignment="1" applyProtection="1">
      <alignment vertical="center" wrapText="1"/>
    </xf>
    <xf numFmtId="0" fontId="11" fillId="29" borderId="0" xfId="0" applyFont="1" applyFill="1" applyBorder="1" applyAlignment="1" applyProtection="1">
      <alignment horizontal="center" vertical="center" wrapText="1"/>
    </xf>
    <xf numFmtId="170" fontId="33" fillId="40" borderId="7" xfId="0" applyNumberFormat="1" applyFont="1" applyFill="1" applyBorder="1" applyAlignment="1" applyProtection="1">
      <alignment horizontal="center" vertical="center" wrapText="1"/>
    </xf>
    <xf numFmtId="3" fontId="34" fillId="32" borderId="7" xfId="49" applyNumberFormat="1" applyFont="1" applyFill="1" applyBorder="1" applyAlignment="1" applyProtection="1">
      <alignment horizontal="right" vertical="center"/>
      <protection locked="0"/>
    </xf>
    <xf numFmtId="0" fontId="0" fillId="30" borderId="0" xfId="0" applyFill="1" applyBorder="1" applyAlignment="1">
      <alignment vertical="center"/>
    </xf>
    <xf numFmtId="3" fontId="34" fillId="30" borderId="0" xfId="49" applyNumberFormat="1" applyFont="1" applyFill="1" applyBorder="1" applyAlignment="1" applyProtection="1">
      <alignment horizontal="center" vertical="center"/>
      <protection locked="0"/>
    </xf>
    <xf numFmtId="3" fontId="0" fillId="30" borderId="0" xfId="0" applyNumberFormat="1" applyFill="1" applyBorder="1" applyAlignment="1">
      <alignment horizontal="center" vertical="center"/>
    </xf>
    <xf numFmtId="0" fontId="0" fillId="30" borderId="0" xfId="0" applyFill="1" applyBorder="1" applyAlignment="1">
      <alignment horizontal="center" vertical="center"/>
    </xf>
    <xf numFmtId="0" fontId="103" fillId="30" borderId="0" xfId="49" applyFont="1" applyFill="1" applyBorder="1" applyAlignment="1">
      <alignment horizontal="left" vertical="center" wrapText="1"/>
    </xf>
    <xf numFmtId="0" fontId="0" fillId="30" borderId="0" xfId="0" applyFill="1" applyBorder="1" applyAlignment="1">
      <alignment horizontal="left" vertical="center" wrapText="1"/>
    </xf>
    <xf numFmtId="14" fontId="34" fillId="29" borderId="0" xfId="0" applyNumberFormat="1" applyFont="1" applyFill="1" applyBorder="1" applyAlignment="1">
      <alignment vertical="center"/>
    </xf>
    <xf numFmtId="14" fontId="33" fillId="29" borderId="0" xfId="0" applyNumberFormat="1" applyFont="1" applyFill="1" applyBorder="1" applyAlignment="1">
      <alignment vertical="center"/>
    </xf>
    <xf numFmtId="0" fontId="34" fillId="29" borderId="0" xfId="0" applyFont="1" applyFill="1" applyBorder="1" applyAlignment="1">
      <alignment horizontal="center" vertical="center"/>
    </xf>
    <xf numFmtId="0" fontId="34" fillId="29" borderId="0" xfId="0" applyFont="1" applyFill="1" applyBorder="1" applyAlignment="1">
      <alignment vertical="center"/>
    </xf>
    <xf numFmtId="0" fontId="34" fillId="29" borderId="0" xfId="0" applyNumberFormat="1" applyFont="1" applyFill="1" applyBorder="1" applyAlignment="1">
      <alignment vertical="center"/>
    </xf>
    <xf numFmtId="0" fontId="34" fillId="29" borderId="0" xfId="0" applyNumberFormat="1" applyFont="1" applyFill="1" applyBorder="1" applyAlignment="1">
      <alignment horizontal="center" vertical="center"/>
    </xf>
    <xf numFmtId="0" fontId="33" fillId="29" borderId="0" xfId="0" applyNumberFormat="1" applyFont="1" applyFill="1" applyBorder="1" applyAlignment="1">
      <alignment horizontal="center" vertical="center"/>
    </xf>
    <xf numFmtId="49" fontId="34" fillId="29" borderId="0" xfId="0" applyNumberFormat="1" applyFont="1" applyFill="1" applyBorder="1" applyAlignment="1">
      <alignment horizontal="center" vertical="center"/>
    </xf>
    <xf numFmtId="0" fontId="35" fillId="29" borderId="0" xfId="0" applyNumberFormat="1" applyFont="1" applyFill="1" applyBorder="1" applyAlignment="1">
      <alignment horizontal="center" vertical="center"/>
    </xf>
    <xf numFmtId="0" fontId="34" fillId="30" borderId="0" xfId="0" applyFont="1" applyFill="1" applyAlignment="1">
      <alignment horizontal="center" vertical="center"/>
    </xf>
    <xf numFmtId="0" fontId="35" fillId="30" borderId="0" xfId="31" applyFont="1" applyFill="1" applyBorder="1" applyAlignment="1">
      <alignment horizontal="center" vertical="center"/>
    </xf>
    <xf numFmtId="0" fontId="33" fillId="30" borderId="0" xfId="0" applyFont="1" applyFill="1" applyAlignment="1">
      <alignment horizontal="center" vertical="center"/>
    </xf>
    <xf numFmtId="0" fontId="33" fillId="30" borderId="0" xfId="0" applyFont="1" applyFill="1" applyBorder="1" applyAlignment="1">
      <alignment horizontal="center" vertical="center"/>
    </xf>
    <xf numFmtId="3" fontId="33" fillId="30" borderId="0" xfId="0" applyNumberFormat="1" applyFont="1" applyFill="1" applyAlignment="1">
      <alignment horizontal="center" vertical="center"/>
    </xf>
    <xf numFmtId="0" fontId="20" fillId="30" borderId="0" xfId="32" applyFill="1" applyAlignment="1">
      <alignment vertical="center"/>
    </xf>
    <xf numFmtId="0" fontId="65" fillId="30" borderId="0" xfId="32" applyFont="1" applyFill="1" applyAlignment="1">
      <alignment vertical="center"/>
    </xf>
    <xf numFmtId="0" fontId="20" fillId="29" borderId="0" xfId="32" applyFill="1" applyAlignment="1">
      <alignment vertical="center"/>
    </xf>
    <xf numFmtId="170" fontId="33" fillId="40" borderId="56" xfId="0" applyNumberFormat="1" applyFont="1" applyFill="1" applyBorder="1" applyAlignment="1" applyProtection="1">
      <alignment horizontal="center" vertical="center" wrapText="1"/>
    </xf>
    <xf numFmtId="170" fontId="33" fillId="40" borderId="77" xfId="0" applyNumberFormat="1" applyFont="1" applyFill="1" applyBorder="1" applyAlignment="1" applyProtection="1">
      <alignment horizontal="center" vertical="center" wrapText="1"/>
    </xf>
    <xf numFmtId="170" fontId="33" fillId="40" borderId="57" xfId="0" applyNumberFormat="1" applyFont="1" applyFill="1" applyBorder="1" applyAlignment="1" applyProtection="1">
      <alignment horizontal="center" vertical="center" wrapText="1"/>
    </xf>
    <xf numFmtId="170" fontId="33" fillId="40" borderId="56" xfId="32" applyNumberFormat="1" applyFont="1" applyFill="1" applyBorder="1" applyAlignment="1" applyProtection="1">
      <alignment horizontal="center" vertical="center" wrapText="1"/>
    </xf>
    <xf numFmtId="170" fontId="33" fillId="40" borderId="77" xfId="32" applyNumberFormat="1" applyFont="1" applyFill="1" applyBorder="1" applyAlignment="1" applyProtection="1">
      <alignment horizontal="center" vertical="center" wrapText="1"/>
    </xf>
    <xf numFmtId="170" fontId="33" fillId="40" borderId="57" xfId="32" applyNumberFormat="1" applyFont="1" applyFill="1" applyBorder="1" applyAlignment="1" applyProtection="1">
      <alignment horizontal="center" vertical="center" wrapText="1"/>
    </xf>
    <xf numFmtId="170" fontId="33" fillId="34" borderId="75" xfId="0" applyNumberFormat="1" applyFont="1" applyFill="1" applyBorder="1" applyAlignment="1" applyProtection="1">
      <alignment horizontal="center" vertical="center" wrapText="1"/>
    </xf>
    <xf numFmtId="170" fontId="33" fillId="34" borderId="73" xfId="0" applyNumberFormat="1" applyFont="1" applyFill="1" applyBorder="1" applyAlignment="1" applyProtection="1">
      <alignment horizontal="center" vertical="center" wrapText="1"/>
    </xf>
    <xf numFmtId="170" fontId="33" fillId="34" borderId="76" xfId="0" applyNumberFormat="1" applyFont="1" applyFill="1" applyBorder="1" applyAlignment="1" applyProtection="1">
      <alignment horizontal="center" vertical="center" wrapText="1"/>
    </xf>
    <xf numFmtId="170" fontId="33" fillId="34" borderId="75" xfId="32" applyNumberFormat="1" applyFont="1" applyFill="1" applyBorder="1" applyAlignment="1" applyProtection="1">
      <alignment horizontal="center" vertical="center" wrapText="1"/>
    </xf>
    <xf numFmtId="170" fontId="33" fillId="34" borderId="73" xfId="32" applyNumberFormat="1" applyFont="1" applyFill="1" applyBorder="1" applyAlignment="1" applyProtection="1">
      <alignment horizontal="center" vertical="center" wrapText="1"/>
    </xf>
    <xf numFmtId="170" fontId="33" fillId="34" borderId="76" xfId="32" applyNumberFormat="1" applyFont="1" applyFill="1" applyBorder="1" applyAlignment="1" applyProtection="1">
      <alignment horizontal="center" vertical="center" wrapText="1"/>
    </xf>
    <xf numFmtId="0" fontId="20" fillId="29" borderId="0" xfId="32" applyFont="1" applyFill="1" applyAlignment="1">
      <alignment vertical="center"/>
    </xf>
    <xf numFmtId="0" fontId="20" fillId="29" borderId="0" xfId="0" applyFont="1" applyFill="1" applyAlignment="1">
      <alignment vertical="center"/>
    </xf>
    <xf numFmtId="0" fontId="65" fillId="30" borderId="0" xfId="0" applyFont="1" applyFill="1" applyAlignment="1">
      <alignment vertical="center"/>
    </xf>
    <xf numFmtId="0" fontId="65" fillId="30" borderId="0" xfId="0" applyFont="1" applyFill="1" applyAlignment="1">
      <alignment horizontal="center" vertical="center"/>
    </xf>
    <xf numFmtId="0" fontId="94" fillId="30" borderId="0" xfId="0" applyFont="1" applyFill="1" applyAlignment="1">
      <alignment vertical="center"/>
    </xf>
    <xf numFmtId="0" fontId="20" fillId="30" borderId="0" xfId="32" applyFill="1" applyAlignment="1">
      <alignment horizontal="center" vertical="center"/>
    </xf>
    <xf numFmtId="0" fontId="34" fillId="29" borderId="0" xfId="32" applyNumberFormat="1" applyFont="1" applyFill="1" applyBorder="1" applyAlignment="1">
      <alignment horizontal="center" vertical="center"/>
    </xf>
    <xf numFmtId="0" fontId="33" fillId="29" borderId="0" xfId="32" applyNumberFormat="1" applyFont="1" applyFill="1" applyBorder="1" applyAlignment="1">
      <alignment horizontal="center" vertical="center"/>
    </xf>
    <xf numFmtId="0" fontId="34" fillId="29" borderId="0" xfId="32" applyFont="1" applyFill="1" applyBorder="1" applyAlignment="1">
      <alignment horizontal="center" vertical="center"/>
    </xf>
    <xf numFmtId="14" fontId="33" fillId="29" borderId="0" xfId="32" applyNumberFormat="1" applyFont="1" applyFill="1" applyBorder="1" applyAlignment="1">
      <alignment horizontal="center" vertical="center"/>
    </xf>
    <xf numFmtId="14" fontId="33" fillId="29" borderId="0" xfId="32" applyNumberFormat="1" applyFont="1" applyFill="1" applyBorder="1" applyAlignment="1">
      <alignment vertical="center"/>
    </xf>
    <xf numFmtId="49" fontId="34" fillId="29" borderId="0" xfId="32" applyNumberFormat="1" applyFont="1" applyFill="1" applyBorder="1" applyAlignment="1">
      <alignment horizontal="center" vertical="center"/>
    </xf>
    <xf numFmtId="0" fontId="35" fillId="29" borderId="0" xfId="32" applyNumberFormat="1" applyFont="1" applyFill="1" applyBorder="1" applyAlignment="1">
      <alignment horizontal="center" vertical="center"/>
    </xf>
    <xf numFmtId="0" fontId="34" fillId="29" borderId="0" xfId="32" applyFont="1" applyFill="1" applyBorder="1" applyAlignment="1">
      <alignment vertical="center"/>
    </xf>
    <xf numFmtId="0" fontId="34" fillId="30" borderId="0" xfId="32" applyFont="1" applyFill="1" applyAlignment="1">
      <alignment horizontal="center" vertical="center"/>
    </xf>
    <xf numFmtId="0" fontId="33" fillId="30" borderId="0" xfId="32" applyFont="1" applyFill="1" applyAlignment="1">
      <alignment horizontal="center" vertical="center"/>
    </xf>
    <xf numFmtId="3" fontId="33" fillId="30" borderId="0" xfId="32" applyNumberFormat="1" applyFont="1" applyFill="1" applyAlignment="1">
      <alignment horizontal="center" vertical="center"/>
    </xf>
    <xf numFmtId="0" fontId="61" fillId="25" borderId="35" xfId="52" applyFont="1" applyFill="1" applyBorder="1" applyAlignment="1" applyProtection="1">
      <alignment horizontal="center" vertical="center" wrapText="1"/>
    </xf>
    <xf numFmtId="49" fontId="61" fillId="34" borderId="29" xfId="52" applyNumberFormat="1" applyFont="1" applyFill="1" applyBorder="1" applyAlignment="1" applyProtection="1">
      <alignment horizontal="center" vertical="center" wrapText="1"/>
    </xf>
    <xf numFmtId="49" fontId="52" fillId="30" borderId="24" xfId="52" applyNumberFormat="1" applyFont="1" applyFill="1" applyBorder="1" applyAlignment="1" applyProtection="1">
      <alignment horizontal="center" vertical="center" wrapText="1"/>
    </xf>
    <xf numFmtId="49" fontId="52" fillId="30" borderId="30" xfId="52" applyNumberFormat="1" applyFont="1" applyFill="1" applyBorder="1" applyAlignment="1" applyProtection="1">
      <alignment horizontal="center" vertical="center" wrapText="1"/>
    </xf>
    <xf numFmtId="0" fontId="61" fillId="34" borderId="29" xfId="52" applyFont="1" applyFill="1" applyBorder="1" applyAlignment="1" applyProtection="1">
      <alignment horizontal="left" vertical="center" wrapText="1"/>
    </xf>
    <xf numFmtId="0" fontId="61" fillId="25" borderId="11" xfId="52" applyFont="1" applyFill="1" applyBorder="1" applyAlignment="1" applyProtection="1">
      <alignment horizontal="center" vertical="center" wrapText="1"/>
    </xf>
    <xf numFmtId="0" fontId="61" fillId="25" borderId="41" xfId="52" applyFont="1" applyFill="1" applyBorder="1" applyAlignment="1" applyProtection="1">
      <alignment horizontal="center" vertical="center" wrapText="1"/>
    </xf>
    <xf numFmtId="2" fontId="34" fillId="2" borderId="26" xfId="0" applyNumberFormat="1" applyFont="1" applyFill="1" applyBorder="1" applyAlignment="1">
      <alignment horizontal="center" vertical="center"/>
    </xf>
    <xf numFmtId="0" fontId="61" fillId="40" borderId="2" xfId="52" applyFont="1" applyFill="1" applyBorder="1" applyAlignment="1" applyProtection="1">
      <alignment horizontal="center" vertical="center" wrapText="1"/>
    </xf>
    <xf numFmtId="0" fontId="61" fillId="40" borderId="9" xfId="54" applyFont="1" applyFill="1" applyBorder="1" applyAlignment="1" applyProtection="1">
      <alignment horizontal="center" vertical="center" wrapText="1"/>
    </xf>
    <xf numFmtId="0" fontId="61" fillId="40" borderId="10" xfId="54" applyFont="1" applyFill="1" applyBorder="1" applyAlignment="1" applyProtection="1">
      <alignment horizontal="center" vertical="center" wrapText="1"/>
    </xf>
    <xf numFmtId="3" fontId="34" fillId="3" borderId="7" xfId="0" applyNumberFormat="1" applyFont="1" applyFill="1" applyBorder="1" applyAlignment="1" applyProtection="1">
      <alignment horizontal="center" vertical="center"/>
      <protection locked="0"/>
    </xf>
    <xf numFmtId="0" fontId="5" fillId="30" borderId="0" xfId="32" applyFont="1" applyFill="1" applyBorder="1" applyAlignment="1">
      <alignment horizontal="center" vertical="center"/>
    </xf>
    <xf numFmtId="0" fontId="12" fillId="30" borderId="0" xfId="49" applyFont="1" applyFill="1" applyBorder="1" applyAlignment="1">
      <alignment horizontal="center" vertical="center"/>
    </xf>
    <xf numFmtId="0" fontId="33" fillId="2" borderId="35" xfId="0" applyFont="1" applyFill="1" applyBorder="1" applyAlignment="1">
      <alignment horizontal="center" vertical="center"/>
    </xf>
    <xf numFmtId="0" fontId="33" fillId="2" borderId="34"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8" xfId="0" applyFont="1" applyFill="1" applyBorder="1" applyAlignment="1">
      <alignment horizontal="center" vertical="center"/>
    </xf>
    <xf numFmtId="0" fontId="33" fillId="2" borderId="3" xfId="0" applyFont="1" applyFill="1" applyBorder="1" applyAlignment="1">
      <alignment horizontal="center" vertical="center"/>
    </xf>
    <xf numFmtId="0" fontId="12" fillId="0" borderId="0" xfId="0" applyFont="1" applyAlignment="1">
      <alignment horizontal="center"/>
    </xf>
    <xf numFmtId="49" fontId="33" fillId="26" borderId="1" xfId="49" applyNumberFormat="1" applyFont="1" applyFill="1" applyBorder="1" applyAlignment="1">
      <alignment horizontal="center" vertical="center"/>
    </xf>
    <xf numFmtId="0" fontId="33" fillId="26" borderId="1" xfId="49" applyFont="1" applyFill="1" applyBorder="1" applyAlignment="1">
      <alignment horizontal="center" vertical="center"/>
    </xf>
    <xf numFmtId="49" fontId="4" fillId="30" borderId="0" xfId="49" applyNumberFormat="1" applyFont="1" applyFill="1" applyBorder="1" applyAlignment="1" applyProtection="1">
      <alignment horizontal="center" vertical="center" wrapText="1"/>
    </xf>
    <xf numFmtId="0" fontId="34" fillId="29" borderId="5" xfId="49" applyFont="1" applyFill="1" applyBorder="1" applyAlignment="1">
      <alignment wrapText="1"/>
    </xf>
    <xf numFmtId="0" fontId="34" fillId="29" borderId="17" xfId="49" applyFont="1" applyFill="1" applyBorder="1" applyAlignment="1">
      <alignment wrapText="1"/>
    </xf>
    <xf numFmtId="49" fontId="34" fillId="29" borderId="17" xfId="49" applyNumberFormat="1" applyFont="1" applyFill="1" applyBorder="1" applyAlignment="1">
      <alignment wrapText="1"/>
    </xf>
    <xf numFmtId="49" fontId="34" fillId="29" borderId="17" xfId="49" applyNumberFormat="1" applyFont="1" applyFill="1" applyBorder="1" applyAlignment="1">
      <alignment horizontal="right" wrapText="1"/>
    </xf>
    <xf numFmtId="49" fontId="34" fillId="29" borderId="17" xfId="49" applyNumberFormat="1" applyFont="1" applyFill="1" applyBorder="1" applyAlignment="1">
      <alignment horizontal="left" wrapText="1"/>
    </xf>
    <xf numFmtId="0" fontId="34" fillId="29" borderId="17" xfId="49" applyFont="1" applyFill="1" applyBorder="1" applyAlignment="1">
      <alignment horizontal="right" vertical="center" wrapText="1"/>
    </xf>
    <xf numFmtId="49" fontId="34" fillId="29" borderId="17" xfId="49" applyNumberFormat="1" applyFont="1" applyFill="1" applyBorder="1" applyAlignment="1">
      <alignment horizontal="left" vertical="center" wrapText="1"/>
    </xf>
    <xf numFmtId="0" fontId="34" fillId="29" borderId="17" xfId="49" applyFont="1" applyFill="1" applyBorder="1" applyAlignment="1">
      <alignment horizontal="left" vertical="center" wrapText="1"/>
    </xf>
    <xf numFmtId="0" fontId="34" fillId="29" borderId="5" xfId="49" applyFont="1" applyFill="1" applyBorder="1" applyAlignment="1">
      <alignment horizontal="center" vertical="center"/>
    </xf>
    <xf numFmtId="9" fontId="34" fillId="29" borderId="5" xfId="49" applyNumberFormat="1" applyFont="1" applyFill="1" applyBorder="1" applyAlignment="1">
      <alignment horizontal="center" vertical="center"/>
    </xf>
    <xf numFmtId="0" fontId="34" fillId="29" borderId="17" xfId="49" applyFont="1" applyFill="1" applyBorder="1" applyAlignment="1">
      <alignment horizontal="center" vertical="center"/>
    </xf>
    <xf numFmtId="9" fontId="34" fillId="29" borderId="17" xfId="49" applyNumberFormat="1" applyFont="1" applyFill="1" applyBorder="1" applyAlignment="1">
      <alignment horizontal="center" vertical="center"/>
    </xf>
    <xf numFmtId="9" fontId="34" fillId="29" borderId="24" xfId="49" applyNumberFormat="1" applyFont="1" applyFill="1" applyBorder="1" applyAlignment="1">
      <alignment horizontal="center" vertical="center"/>
    </xf>
    <xf numFmtId="0" fontId="34" fillId="29" borderId="24" xfId="49" applyFont="1" applyFill="1" applyBorder="1" applyAlignment="1">
      <alignment horizontal="center" vertical="center"/>
    </xf>
    <xf numFmtId="9" fontId="34" fillId="29" borderId="17" xfId="49" applyNumberFormat="1" applyFont="1" applyFill="1" applyBorder="1" applyAlignment="1">
      <alignment horizontal="left" vertical="center"/>
    </xf>
    <xf numFmtId="9" fontId="34" fillId="29" borderId="17" xfId="50" applyFont="1" applyFill="1" applyBorder="1" applyAlignment="1">
      <alignment horizontal="center" vertical="center"/>
    </xf>
    <xf numFmtId="0" fontId="34" fillId="29" borderId="17" xfId="49" applyFont="1" applyFill="1" applyBorder="1" applyAlignment="1">
      <alignment vertical="center" wrapText="1"/>
    </xf>
    <xf numFmtId="0" fontId="4" fillId="30" borderId="0" xfId="49" applyFont="1" applyFill="1" applyAlignment="1">
      <alignment horizontal="center" wrapText="1"/>
    </xf>
    <xf numFmtId="0" fontId="4" fillId="30" borderId="0" xfId="49" applyFont="1" applyFill="1" applyAlignment="1">
      <alignment wrapText="1"/>
    </xf>
    <xf numFmtId="167" fontId="4" fillId="30" borderId="0" xfId="49" applyNumberFormat="1" applyFont="1" applyFill="1" applyAlignment="1">
      <alignment wrapText="1"/>
    </xf>
    <xf numFmtId="0" fontId="79" fillId="30" borderId="0" xfId="49" applyFill="1" applyAlignment="1">
      <alignment wrapText="1"/>
    </xf>
    <xf numFmtId="0" fontId="6" fillId="30" borderId="0" xfId="49" applyFont="1" applyFill="1" applyAlignment="1">
      <alignment wrapText="1"/>
    </xf>
    <xf numFmtId="0" fontId="8" fillId="30" borderId="0" xfId="49" applyFont="1" applyFill="1" applyAlignment="1">
      <alignment wrapText="1"/>
    </xf>
    <xf numFmtId="0" fontId="11" fillId="30" borderId="0" xfId="49" applyFont="1" applyFill="1" applyBorder="1" applyAlignment="1">
      <alignment vertical="center" wrapText="1"/>
    </xf>
    <xf numFmtId="0" fontId="45" fillId="30" borderId="0" xfId="49" applyFont="1" applyFill="1" applyBorder="1" applyAlignment="1">
      <alignment vertical="center" wrapText="1"/>
    </xf>
    <xf numFmtId="0" fontId="12" fillId="30" borderId="0" xfId="49" applyFont="1" applyFill="1" applyBorder="1" applyAlignment="1">
      <alignment horizontal="center" vertical="center" wrapText="1"/>
    </xf>
    <xf numFmtId="0" fontId="13" fillId="30" borderId="0" xfId="49" applyFont="1" applyFill="1" applyAlignment="1">
      <alignment wrapText="1"/>
    </xf>
    <xf numFmtId="1" fontId="33" fillId="42" borderId="38" xfId="21" applyFont="1" applyFill="1" applyBorder="1" applyAlignment="1">
      <alignment horizontal="center" vertical="center" wrapText="1"/>
    </xf>
    <xf numFmtId="1" fontId="33" fillId="42" borderId="9" xfId="21" applyFont="1" applyFill="1" applyBorder="1" applyAlignment="1">
      <alignment horizontal="center" vertical="center" wrapText="1"/>
    </xf>
    <xf numFmtId="1" fontId="33" fillId="42" borderId="10" xfId="21" applyFont="1" applyFill="1" applyBorder="1" applyAlignment="1">
      <alignment horizontal="center" vertical="center" wrapText="1"/>
    </xf>
    <xf numFmtId="1" fontId="33" fillId="42" borderId="65" xfId="21" applyFont="1" applyFill="1" applyBorder="1" applyAlignment="1">
      <alignment horizontal="center" vertical="center" wrapText="1"/>
    </xf>
    <xf numFmtId="0" fontId="33" fillId="35" borderId="42" xfId="49" applyFont="1" applyFill="1" applyBorder="1" applyAlignment="1">
      <alignment horizontal="center" vertical="center" wrapText="1"/>
    </xf>
    <xf numFmtId="0" fontId="33" fillId="35" borderId="34" xfId="49" applyFont="1" applyFill="1" applyBorder="1" applyAlignment="1">
      <alignment horizontal="left" vertical="center" wrapText="1"/>
    </xf>
    <xf numFmtId="0" fontId="33" fillId="35" borderId="2" xfId="49" applyFont="1" applyFill="1" applyBorder="1" applyAlignment="1">
      <alignment horizontal="center" vertical="center" wrapText="1"/>
    </xf>
    <xf numFmtId="0" fontId="33" fillId="35" borderId="65" xfId="49" applyFont="1" applyFill="1" applyBorder="1" applyAlignment="1">
      <alignment horizontal="left" vertical="center" wrapText="1"/>
    </xf>
    <xf numFmtId="0" fontId="33" fillId="35" borderId="9" xfId="49" applyFont="1" applyFill="1" applyBorder="1" applyAlignment="1">
      <alignment horizontal="left" vertical="center" wrapText="1"/>
    </xf>
    <xf numFmtId="3" fontId="33" fillId="35" borderId="9" xfId="49" applyNumberFormat="1" applyFont="1" applyFill="1" applyBorder="1" applyAlignment="1">
      <alignment horizontal="left" vertical="center" wrapText="1"/>
    </xf>
    <xf numFmtId="0" fontId="33" fillId="35" borderId="10" xfId="49" applyFont="1" applyFill="1" applyBorder="1" applyAlignment="1">
      <alignment horizontal="left" vertical="center" wrapText="1"/>
    </xf>
    <xf numFmtId="0" fontId="33" fillId="35" borderId="34" xfId="49" applyFont="1" applyFill="1" applyBorder="1" applyAlignment="1">
      <alignment horizontal="center" vertical="center" wrapText="1"/>
    </xf>
    <xf numFmtId="0" fontId="33" fillId="35" borderId="38" xfId="49" applyFont="1" applyFill="1" applyBorder="1" applyAlignment="1">
      <alignment horizontal="left" vertical="center" wrapText="1"/>
    </xf>
    <xf numFmtId="0" fontId="71" fillId="30" borderId="0" xfId="49" applyFont="1" applyFill="1" applyAlignment="1">
      <alignment wrapText="1"/>
    </xf>
    <xf numFmtId="167" fontId="104" fillId="30" borderId="91" xfId="49" applyNumberFormat="1" applyFont="1" applyFill="1" applyBorder="1" applyAlignment="1">
      <alignment horizontal="center" wrapText="1"/>
    </xf>
    <xf numFmtId="0" fontId="65" fillId="30" borderId="0" xfId="49" applyFont="1" applyFill="1" applyAlignment="1">
      <alignment wrapText="1"/>
    </xf>
    <xf numFmtId="49" fontId="33" fillId="26" borderId="1" xfId="49" applyNumberFormat="1" applyFont="1" applyFill="1" applyBorder="1" applyAlignment="1">
      <alignment horizontal="center" vertical="center" wrapText="1"/>
    </xf>
    <xf numFmtId="49" fontId="33" fillId="26" borderId="1" xfId="49" applyNumberFormat="1" applyFont="1" applyFill="1" applyBorder="1" applyAlignment="1">
      <alignment vertical="center" wrapText="1"/>
    </xf>
    <xf numFmtId="3" fontId="13" fillId="30" borderId="0" xfId="0" applyNumberFormat="1" applyFont="1" applyFill="1" applyAlignment="1">
      <alignment wrapText="1"/>
    </xf>
    <xf numFmtId="1" fontId="74" fillId="30" borderId="89" xfId="0" applyNumberFormat="1" applyFont="1" applyFill="1" applyBorder="1" applyAlignment="1">
      <alignment horizontal="center" wrapText="1"/>
    </xf>
    <xf numFmtId="0" fontId="34" fillId="30" borderId="5" xfId="49" applyFont="1" applyFill="1" applyBorder="1" applyAlignment="1">
      <alignment horizontal="center" vertical="center" wrapText="1"/>
    </xf>
    <xf numFmtId="0" fontId="34" fillId="29" borderId="5" xfId="49" applyFont="1" applyFill="1" applyBorder="1" applyAlignment="1">
      <alignment horizontal="center" vertical="center" wrapText="1"/>
    </xf>
    <xf numFmtId="9" fontId="34" fillId="29" borderId="5" xfId="49" applyNumberFormat="1" applyFont="1" applyFill="1" applyBorder="1" applyAlignment="1">
      <alignment horizontal="center" vertical="center" wrapText="1"/>
    </xf>
    <xf numFmtId="0" fontId="0" fillId="30" borderId="0" xfId="0" applyFill="1" applyAlignment="1">
      <alignment wrapText="1"/>
    </xf>
    <xf numFmtId="3" fontId="20" fillId="30" borderId="91" xfId="0" applyNumberFormat="1" applyFont="1" applyFill="1" applyBorder="1" applyAlignment="1">
      <alignment wrapText="1"/>
    </xf>
    <xf numFmtId="0" fontId="34" fillId="30" borderId="17" xfId="49" applyFont="1" applyFill="1" applyBorder="1" applyAlignment="1">
      <alignment horizontal="center" vertical="center" wrapText="1"/>
    </xf>
    <xf numFmtId="0" fontId="34" fillId="29" borderId="17" xfId="49" applyFont="1" applyFill="1" applyBorder="1" applyAlignment="1">
      <alignment horizontal="center" vertical="center" wrapText="1"/>
    </xf>
    <xf numFmtId="9" fontId="34" fillId="29" borderId="17" xfId="49" applyNumberFormat="1" applyFont="1" applyFill="1" applyBorder="1" applyAlignment="1">
      <alignment horizontal="center" vertical="center" wrapText="1"/>
    </xf>
    <xf numFmtId="3" fontId="74" fillId="30" borderId="91" xfId="0" applyNumberFormat="1" applyFont="1" applyFill="1" applyBorder="1" applyAlignment="1">
      <alignment wrapText="1"/>
    </xf>
    <xf numFmtId="3" fontId="33" fillId="30" borderId="17" xfId="49" applyNumberFormat="1" applyFont="1" applyFill="1" applyBorder="1" applyAlignment="1">
      <alignment horizontal="center" vertical="center" wrapText="1"/>
    </xf>
    <xf numFmtId="0" fontId="6" fillId="30" borderId="91" xfId="0" applyFont="1" applyFill="1" applyBorder="1" applyAlignment="1">
      <alignment wrapText="1"/>
    </xf>
    <xf numFmtId="9" fontId="34" fillId="29" borderId="24" xfId="49" applyNumberFormat="1" applyFont="1" applyFill="1" applyBorder="1" applyAlignment="1">
      <alignment horizontal="center" vertical="center" wrapText="1"/>
    </xf>
    <xf numFmtId="0" fontId="20" fillId="30" borderId="0" xfId="0" applyFont="1" applyFill="1" applyAlignment="1">
      <alignment wrapText="1"/>
    </xf>
    <xf numFmtId="0" fontId="79" fillId="30" borderId="0" xfId="49" applyFont="1" applyFill="1" applyAlignment="1">
      <alignment wrapText="1"/>
    </xf>
    <xf numFmtId="3" fontId="33" fillId="21" borderId="17" xfId="49" applyNumberFormat="1" applyFont="1" applyFill="1" applyBorder="1" applyAlignment="1">
      <alignment horizontal="center" vertical="center" wrapText="1"/>
    </xf>
    <xf numFmtId="3" fontId="33" fillId="21" borderId="32" xfId="49" applyNumberFormat="1" applyFont="1" applyFill="1" applyBorder="1" applyAlignment="1">
      <alignment horizontal="center" vertical="center" wrapText="1"/>
    </xf>
    <xf numFmtId="3" fontId="33" fillId="21" borderId="7" xfId="49" applyNumberFormat="1" applyFont="1" applyFill="1" applyBorder="1" applyAlignment="1">
      <alignment horizontal="center" vertical="center" wrapText="1"/>
    </xf>
    <xf numFmtId="3" fontId="33" fillId="21" borderId="53" xfId="49" applyNumberFormat="1" applyFont="1" applyFill="1" applyBorder="1" applyAlignment="1">
      <alignment horizontal="center" vertical="center" wrapText="1"/>
    </xf>
    <xf numFmtId="0" fontId="34" fillId="30" borderId="24" xfId="49" applyFont="1" applyFill="1" applyBorder="1" applyAlignment="1">
      <alignment horizontal="center" vertical="center" wrapText="1"/>
    </xf>
    <xf numFmtId="0" fontId="34" fillId="29" borderId="24" xfId="49" applyFont="1" applyFill="1" applyBorder="1" applyAlignment="1">
      <alignment horizontal="center" vertical="center" wrapText="1"/>
    </xf>
    <xf numFmtId="0" fontId="34" fillId="29" borderId="24" xfId="0" applyFont="1" applyFill="1" applyBorder="1" applyAlignment="1">
      <alignment horizontal="center" vertical="center" wrapText="1"/>
    </xf>
    <xf numFmtId="0" fontId="34" fillId="0" borderId="24" xfId="49" applyFont="1" applyFill="1" applyBorder="1" applyAlignment="1">
      <alignment horizontal="center" vertical="center" wrapText="1"/>
    </xf>
    <xf numFmtId="9" fontId="34" fillId="30" borderId="24" xfId="49" applyNumberFormat="1" applyFont="1" applyFill="1" applyBorder="1" applyAlignment="1">
      <alignment horizontal="center" vertical="center" wrapText="1"/>
    </xf>
    <xf numFmtId="0" fontId="34" fillId="31" borderId="17" xfId="0" applyFont="1" applyFill="1" applyBorder="1" applyAlignment="1">
      <alignment horizontal="center" vertical="center" wrapText="1"/>
    </xf>
    <xf numFmtId="0" fontId="34" fillId="30" borderId="36" xfId="49" applyFont="1" applyFill="1" applyBorder="1" applyAlignment="1">
      <alignment horizontal="center" vertical="center" wrapText="1"/>
    </xf>
    <xf numFmtId="9" fontId="34" fillId="30" borderId="36" xfId="49" applyNumberFormat="1" applyFont="1" applyFill="1" applyBorder="1" applyAlignment="1">
      <alignment horizontal="center" vertical="center" wrapText="1"/>
    </xf>
    <xf numFmtId="0" fontId="33" fillId="26" borderId="1" xfId="49" applyFont="1" applyFill="1" applyBorder="1" applyAlignment="1">
      <alignment horizontal="center" vertical="center" wrapText="1"/>
    </xf>
    <xf numFmtId="0" fontId="33" fillId="26" borderId="1" xfId="49" applyFont="1" applyFill="1" applyBorder="1" applyAlignment="1">
      <alignment horizontal="left" vertical="center" wrapText="1"/>
    </xf>
    <xf numFmtId="0" fontId="34" fillId="29" borderId="5" xfId="0" applyFont="1" applyFill="1" applyBorder="1" applyAlignment="1">
      <alignment horizontal="center" vertical="center" wrapText="1"/>
    </xf>
    <xf numFmtId="1" fontId="0" fillId="30" borderId="0" xfId="0" applyNumberFormat="1" applyFill="1" applyAlignment="1">
      <alignment wrapText="1"/>
    </xf>
    <xf numFmtId="1" fontId="74" fillId="0" borderId="90" xfId="0" applyNumberFormat="1" applyFont="1" applyFill="1" applyBorder="1" applyAlignment="1">
      <alignment horizontal="center" wrapText="1"/>
    </xf>
    <xf numFmtId="0" fontId="34" fillId="29" borderId="17" xfId="0" applyFont="1" applyFill="1" applyBorder="1" applyAlignment="1">
      <alignment horizontal="center" vertical="center" wrapText="1"/>
    </xf>
    <xf numFmtId="3" fontId="33" fillId="30" borderId="0" xfId="0" applyNumberFormat="1" applyFont="1" applyFill="1" applyBorder="1" applyAlignment="1">
      <alignment horizontal="center" vertical="center" wrapText="1"/>
    </xf>
    <xf numFmtId="0" fontId="20" fillId="30" borderId="91" xfId="0" applyFont="1" applyFill="1" applyBorder="1" applyAlignment="1">
      <alignment wrapText="1"/>
    </xf>
    <xf numFmtId="0" fontId="4" fillId="30" borderId="91" xfId="0" applyFont="1" applyFill="1" applyBorder="1" applyAlignment="1">
      <alignment wrapText="1"/>
    </xf>
    <xf numFmtId="0" fontId="34" fillId="30" borderId="24" xfId="0" applyFont="1" applyFill="1" applyBorder="1" applyAlignment="1">
      <alignment horizontal="center" vertical="center" wrapText="1"/>
    </xf>
    <xf numFmtId="9" fontId="34" fillId="30" borderId="5" xfId="49" applyNumberFormat="1" applyFont="1" applyFill="1" applyBorder="1" applyAlignment="1">
      <alignment horizontal="center" vertical="center" wrapText="1"/>
    </xf>
    <xf numFmtId="0" fontId="34" fillId="30" borderId="36" xfId="0" applyFont="1" applyFill="1" applyBorder="1" applyAlignment="1">
      <alignment horizontal="center" vertical="center" wrapText="1"/>
    </xf>
    <xf numFmtId="9" fontId="34" fillId="30" borderId="17" xfId="49" applyNumberFormat="1" applyFont="1" applyFill="1" applyBorder="1" applyAlignment="1">
      <alignment horizontal="center" vertical="center" wrapText="1"/>
    </xf>
    <xf numFmtId="9" fontId="34" fillId="30" borderId="36" xfId="1" applyFont="1" applyFill="1" applyBorder="1" applyAlignment="1">
      <alignment horizontal="center" vertical="center" wrapText="1"/>
    </xf>
    <xf numFmtId="3" fontId="74" fillId="30" borderId="89" xfId="0" applyNumberFormat="1" applyFont="1" applyFill="1" applyBorder="1" applyAlignment="1">
      <alignment horizontal="center" wrapText="1"/>
    </xf>
    <xf numFmtId="3" fontId="80" fillId="30" borderId="91" xfId="0" applyNumberFormat="1" applyFont="1" applyFill="1" applyBorder="1" applyAlignment="1">
      <alignment wrapText="1"/>
    </xf>
    <xf numFmtId="3" fontId="33" fillId="30" borderId="44" xfId="49" applyNumberFormat="1" applyFont="1" applyFill="1" applyBorder="1" applyAlignment="1">
      <alignment horizontal="center" vertical="center" wrapText="1"/>
    </xf>
    <xf numFmtId="3" fontId="33" fillId="30" borderId="31" xfId="49" applyNumberFormat="1" applyFont="1" applyFill="1" applyBorder="1" applyAlignment="1">
      <alignment horizontal="center" vertical="center" wrapText="1"/>
    </xf>
    <xf numFmtId="0" fontId="44" fillId="30" borderId="0" xfId="0" applyFont="1" applyFill="1" applyAlignment="1">
      <alignment wrapText="1"/>
    </xf>
    <xf numFmtId="0" fontId="33" fillId="35" borderId="1" xfId="49" applyFont="1" applyFill="1" applyBorder="1" applyAlignment="1">
      <alignment horizontal="center" vertical="center" wrapText="1"/>
    </xf>
    <xf numFmtId="0" fontId="33" fillId="35" borderId="2" xfId="49" applyFont="1" applyFill="1" applyBorder="1" applyAlignment="1">
      <alignment horizontal="left" vertical="center" wrapText="1"/>
    </xf>
    <xf numFmtId="3" fontId="33" fillId="35" borderId="38" xfId="49" applyNumberFormat="1" applyFont="1" applyFill="1" applyBorder="1" applyAlignment="1">
      <alignment horizontal="left" vertical="center" wrapText="1"/>
    </xf>
    <xf numFmtId="3" fontId="33" fillId="35" borderId="10" xfId="49" applyNumberFormat="1" applyFont="1" applyFill="1" applyBorder="1" applyAlignment="1">
      <alignment horizontal="left" vertical="center" wrapText="1"/>
    </xf>
    <xf numFmtId="0" fontId="71" fillId="30" borderId="0" xfId="0" applyFont="1" applyFill="1" applyAlignment="1">
      <alignment wrapText="1"/>
    </xf>
    <xf numFmtId="167" fontId="33" fillId="26" borderId="1" xfId="49" applyNumberFormat="1" applyFont="1" applyFill="1" applyBorder="1" applyAlignment="1">
      <alignment horizontal="center" vertical="center" wrapText="1"/>
    </xf>
    <xf numFmtId="3" fontId="33" fillId="26" borderId="38" xfId="49" applyNumberFormat="1" applyFont="1" applyFill="1" applyBorder="1" applyAlignment="1">
      <alignment horizontal="center" vertical="center" wrapText="1"/>
    </xf>
    <xf numFmtId="3" fontId="33" fillId="26" borderId="9" xfId="49" applyNumberFormat="1" applyFont="1" applyFill="1" applyBorder="1" applyAlignment="1">
      <alignment horizontal="center" vertical="center" wrapText="1"/>
    </xf>
    <xf numFmtId="3" fontId="33" fillId="26" borderId="8" xfId="49" applyNumberFormat="1" applyFont="1" applyFill="1" applyBorder="1" applyAlignment="1">
      <alignment horizontal="center" vertical="center" wrapText="1"/>
    </xf>
    <xf numFmtId="167" fontId="33" fillId="26" borderId="38" xfId="49" applyNumberFormat="1" applyFont="1" applyFill="1" applyBorder="1" applyAlignment="1">
      <alignment horizontal="center" vertical="center" wrapText="1"/>
    </xf>
    <xf numFmtId="167" fontId="33" fillId="26" borderId="9" xfId="49" applyNumberFormat="1" applyFont="1" applyFill="1" applyBorder="1" applyAlignment="1">
      <alignment horizontal="center" vertical="center" wrapText="1"/>
    </xf>
    <xf numFmtId="167" fontId="33" fillId="26" borderId="8" xfId="49" applyNumberFormat="1" applyFont="1" applyFill="1" applyBorder="1" applyAlignment="1">
      <alignment horizontal="center" vertical="center" wrapText="1"/>
    </xf>
    <xf numFmtId="3" fontId="33" fillId="26" borderId="10" xfId="49" applyNumberFormat="1" applyFont="1" applyFill="1" applyBorder="1" applyAlignment="1">
      <alignment horizontal="center" vertical="center" wrapText="1"/>
    </xf>
    <xf numFmtId="0" fontId="34" fillId="30" borderId="0" xfId="49" applyFont="1" applyFill="1" applyAlignment="1">
      <alignment wrapText="1"/>
    </xf>
    <xf numFmtId="9" fontId="34" fillId="29" borderId="17" xfId="49" applyNumberFormat="1" applyFont="1" applyFill="1" applyBorder="1" applyAlignment="1">
      <alignment horizontal="left" vertical="center" wrapText="1"/>
    </xf>
    <xf numFmtId="9" fontId="34" fillId="29" borderId="17" xfId="50" applyFont="1" applyFill="1" applyBorder="1" applyAlignment="1">
      <alignment horizontal="center" vertical="center" wrapText="1"/>
    </xf>
    <xf numFmtId="0" fontId="34" fillId="0" borderId="17" xfId="49" applyFont="1" applyFill="1" applyBorder="1" applyAlignment="1">
      <alignment horizontal="center" vertical="center" wrapText="1"/>
    </xf>
    <xf numFmtId="167" fontId="33" fillId="26" borderId="10" xfId="49" applyNumberFormat="1" applyFont="1" applyFill="1" applyBorder="1" applyAlignment="1">
      <alignment horizontal="center" vertical="center" wrapText="1"/>
    </xf>
    <xf numFmtId="0" fontId="34" fillId="0" borderId="5" xfId="49" applyFont="1" applyFill="1" applyBorder="1" applyAlignment="1">
      <alignment horizontal="center" vertical="center" wrapText="1"/>
    </xf>
    <xf numFmtId="0" fontId="33" fillId="39" borderId="1" xfId="49" applyFont="1" applyFill="1" applyBorder="1" applyAlignment="1">
      <alignment horizontal="center" vertical="center" wrapText="1"/>
    </xf>
    <xf numFmtId="0" fontId="33" fillId="39" borderId="1" xfId="49" applyFont="1" applyFill="1" applyBorder="1" applyAlignment="1">
      <alignment horizontal="left" vertical="center" wrapText="1"/>
    </xf>
    <xf numFmtId="0" fontId="20" fillId="30" borderId="92" xfId="0" applyFont="1" applyFill="1" applyBorder="1" applyAlignment="1">
      <alignment wrapText="1"/>
    </xf>
    <xf numFmtId="167" fontId="4" fillId="30" borderId="0" xfId="49" applyNumberFormat="1" applyFont="1" applyFill="1" applyBorder="1" applyAlignment="1" applyProtection="1">
      <alignment horizontal="center" vertical="center" wrapText="1"/>
      <protection locked="0"/>
    </xf>
    <xf numFmtId="167" fontId="4" fillId="30" borderId="0" xfId="49" applyNumberFormat="1" applyFont="1" applyFill="1" applyBorder="1" applyAlignment="1" applyProtection="1">
      <alignment horizontal="right" vertical="center" wrapText="1"/>
      <protection locked="0"/>
    </xf>
    <xf numFmtId="0" fontId="4" fillId="30" borderId="0" xfId="49" applyFont="1" applyFill="1" applyAlignment="1">
      <alignment horizontal="center" vertical="center" wrapText="1"/>
    </xf>
    <xf numFmtId="0" fontId="4" fillId="30" borderId="0" xfId="49" applyFont="1" applyFill="1" applyAlignment="1">
      <alignment vertical="center" wrapText="1"/>
    </xf>
    <xf numFmtId="0" fontId="13" fillId="30" borderId="0" xfId="49" applyFont="1" applyFill="1" applyAlignment="1">
      <alignment horizontal="center" wrapText="1"/>
    </xf>
    <xf numFmtId="0" fontId="4" fillId="30" borderId="0" xfId="49" applyNumberFormat="1" applyFont="1" applyFill="1" applyAlignment="1">
      <alignment wrapText="1"/>
    </xf>
    <xf numFmtId="3" fontId="4" fillId="30" borderId="0" xfId="49" applyNumberFormat="1" applyFont="1" applyFill="1" applyAlignment="1">
      <alignment wrapText="1"/>
    </xf>
    <xf numFmtId="0" fontId="4" fillId="30" borderId="0" xfId="0" applyFont="1" applyFill="1" applyAlignment="1">
      <alignment vertical="center" wrapText="1"/>
    </xf>
    <xf numFmtId="0" fontId="4" fillId="30" borderId="0" xfId="0" applyNumberFormat="1" applyFont="1" applyFill="1" applyAlignment="1">
      <alignment wrapText="1"/>
    </xf>
    <xf numFmtId="0" fontId="4" fillId="30" borderId="0" xfId="0" applyFont="1" applyFill="1" applyAlignment="1">
      <alignment wrapText="1"/>
    </xf>
    <xf numFmtId="0" fontId="4" fillId="30" borderId="0" xfId="0" applyNumberFormat="1" applyFont="1" applyFill="1" applyAlignment="1">
      <alignment horizontal="center" wrapText="1"/>
    </xf>
    <xf numFmtId="49" fontId="4" fillId="30" borderId="0" xfId="0" applyNumberFormat="1" applyFont="1" applyFill="1" applyAlignment="1">
      <alignment horizontal="right" wrapText="1"/>
    </xf>
    <xf numFmtId="0" fontId="4" fillId="30" borderId="0" xfId="31" applyFont="1" applyFill="1" applyAlignment="1">
      <alignment wrapText="1"/>
    </xf>
    <xf numFmtId="0" fontId="29" fillId="30" borderId="0" xfId="0" applyNumberFormat="1" applyFont="1" applyFill="1" applyAlignment="1">
      <alignment horizontal="center" wrapText="1"/>
    </xf>
    <xf numFmtId="49" fontId="13" fillId="30" borderId="0" xfId="0" applyNumberFormat="1" applyFont="1" applyFill="1" applyAlignment="1">
      <alignment horizontal="right" wrapText="1"/>
    </xf>
    <xf numFmtId="0" fontId="4" fillId="30" borderId="0" xfId="31" applyFont="1" applyFill="1" applyAlignment="1">
      <alignment horizontal="center" wrapText="1"/>
    </xf>
    <xf numFmtId="0" fontId="36" fillId="30" borderId="0" xfId="31" applyFont="1" applyFill="1" applyBorder="1" applyAlignment="1">
      <alignment wrapText="1"/>
    </xf>
    <xf numFmtId="0" fontId="33" fillId="30" borderId="17" xfId="32" applyFont="1" applyFill="1" applyBorder="1" applyAlignment="1">
      <alignment horizontal="center" vertical="center"/>
    </xf>
    <xf numFmtId="0" fontId="33" fillId="24" borderId="17" xfId="32" applyFont="1" applyFill="1" applyBorder="1" applyAlignment="1">
      <alignment horizontal="center" vertical="center"/>
    </xf>
    <xf numFmtId="0" fontId="34" fillId="24" borderId="17" xfId="32" applyFont="1" applyFill="1" applyBorder="1" applyAlignment="1">
      <alignment horizontal="center" vertical="center"/>
    </xf>
    <xf numFmtId="0" fontId="65" fillId="29" borderId="0" xfId="0" applyFont="1" applyFill="1" applyAlignment="1">
      <alignment horizontal="center"/>
    </xf>
    <xf numFmtId="0" fontId="34" fillId="29" borderId="0" xfId="0" applyFont="1" applyFill="1" applyBorder="1" applyAlignment="1">
      <alignment horizontal="center"/>
    </xf>
    <xf numFmtId="3" fontId="34" fillId="0" borderId="17" xfId="32" applyNumberFormat="1" applyFont="1" applyFill="1" applyBorder="1" applyAlignment="1">
      <alignment horizontal="left" vertical="center" wrapText="1"/>
    </xf>
    <xf numFmtId="0" fontId="33" fillId="29" borderId="5" xfId="32" applyFont="1" applyFill="1" applyBorder="1" applyAlignment="1">
      <alignment vertical="center" wrapText="1"/>
    </xf>
    <xf numFmtId="0" fontId="34" fillId="30" borderId="0" xfId="32" applyFont="1" applyFill="1" applyAlignment="1">
      <alignment wrapText="1"/>
    </xf>
    <xf numFmtId="0" fontId="33" fillId="34" borderId="29" xfId="32" applyFont="1" applyFill="1" applyBorder="1" applyAlignment="1">
      <alignment vertical="center" wrapText="1"/>
    </xf>
    <xf numFmtId="0" fontId="34" fillId="30" borderId="24" xfId="32" applyFont="1" applyFill="1" applyBorder="1" applyAlignment="1">
      <alignment wrapText="1"/>
    </xf>
    <xf numFmtId="0" fontId="34" fillId="30" borderId="36" xfId="32" applyFont="1" applyFill="1" applyBorder="1" applyAlignment="1">
      <alignment wrapText="1"/>
    </xf>
    <xf numFmtId="0" fontId="34" fillId="30" borderId="29" xfId="32" applyFont="1" applyFill="1" applyBorder="1" applyAlignment="1">
      <alignment wrapText="1"/>
    </xf>
    <xf numFmtId="0" fontId="34" fillId="30" borderId="30" xfId="32" applyFont="1" applyFill="1" applyBorder="1" applyAlignment="1">
      <alignment wrapText="1"/>
    </xf>
    <xf numFmtId="0" fontId="34" fillId="30" borderId="0" xfId="32" applyFont="1" applyFill="1" applyAlignment="1">
      <alignment vertical="center" wrapText="1"/>
    </xf>
    <xf numFmtId="0" fontId="33" fillId="34" borderId="29" xfId="0" applyFont="1" applyFill="1" applyBorder="1" applyAlignment="1">
      <alignment vertical="center" wrapText="1"/>
    </xf>
    <xf numFmtId="0" fontId="0" fillId="29" borderId="0" xfId="0" applyFill="1" applyAlignment="1">
      <alignment wrapText="1"/>
    </xf>
    <xf numFmtId="9" fontId="34" fillId="29" borderId="17" xfId="1" applyFont="1" applyFill="1" applyBorder="1" applyAlignment="1">
      <alignment horizontal="center" vertical="center"/>
    </xf>
    <xf numFmtId="9" fontId="34" fillId="29" borderId="29" xfId="1" applyFont="1" applyFill="1" applyBorder="1" applyAlignment="1">
      <alignment horizontal="center"/>
    </xf>
    <xf numFmtId="9" fontId="34" fillId="29" borderId="76" xfId="1" applyFont="1" applyFill="1" applyBorder="1" applyAlignment="1">
      <alignment horizontal="center"/>
    </xf>
    <xf numFmtId="9" fontId="34" fillId="29" borderId="22" xfId="1" applyFont="1" applyFill="1" applyBorder="1" applyAlignment="1">
      <alignment horizontal="center"/>
    </xf>
    <xf numFmtId="9" fontId="34" fillId="29" borderId="74" xfId="1" applyFont="1" applyFill="1" applyBorder="1" applyAlignment="1">
      <alignment horizontal="center"/>
    </xf>
    <xf numFmtId="9" fontId="34" fillId="29" borderId="75" xfId="1" applyFont="1" applyFill="1" applyBorder="1" applyAlignment="1">
      <alignment horizontal="center"/>
    </xf>
    <xf numFmtId="9" fontId="34" fillId="29" borderId="24" xfId="1" applyFont="1" applyFill="1" applyBorder="1" applyAlignment="1">
      <alignment horizontal="center"/>
    </xf>
    <xf numFmtId="9" fontId="34" fillId="29" borderId="53" xfId="1" applyFont="1" applyFill="1" applyBorder="1" applyAlignment="1">
      <alignment horizontal="center"/>
    </xf>
    <xf numFmtId="9" fontId="34" fillId="29" borderId="23" xfId="1" applyFont="1" applyFill="1" applyBorder="1" applyAlignment="1">
      <alignment horizontal="center"/>
    </xf>
    <xf numFmtId="9" fontId="34" fillId="29" borderId="62" xfId="1" applyFont="1" applyFill="1" applyBorder="1" applyAlignment="1">
      <alignment horizontal="center"/>
    </xf>
    <xf numFmtId="9" fontId="34" fillId="29" borderId="52" xfId="1" applyFont="1" applyFill="1" applyBorder="1" applyAlignment="1">
      <alignment horizontal="center"/>
    </xf>
    <xf numFmtId="9" fontId="34" fillId="29" borderId="30" xfId="1" applyFont="1" applyFill="1" applyBorder="1" applyAlignment="1">
      <alignment horizontal="center"/>
    </xf>
    <xf numFmtId="9" fontId="34" fillId="29" borderId="57" xfId="1" applyFont="1" applyFill="1" applyBorder="1" applyAlignment="1">
      <alignment horizontal="center"/>
    </xf>
    <xf numFmtId="9" fontId="34" fillId="29" borderId="28" xfId="1" applyFont="1" applyFill="1" applyBorder="1" applyAlignment="1">
      <alignment horizontal="center"/>
    </xf>
    <xf numFmtId="9" fontId="34" fillId="29" borderId="78" xfId="1" applyFont="1" applyFill="1" applyBorder="1" applyAlignment="1">
      <alignment horizontal="center"/>
    </xf>
    <xf numFmtId="9" fontId="34" fillId="29" borderId="56" xfId="1" applyFont="1" applyFill="1" applyBorder="1" applyAlignment="1">
      <alignment horizontal="center"/>
    </xf>
    <xf numFmtId="3" fontId="34" fillId="32" borderId="7" xfId="49" applyNumberFormat="1" applyFont="1" applyFill="1" applyBorder="1" applyAlignment="1" applyProtection="1">
      <alignment horizontal="center"/>
      <protection locked="0"/>
    </xf>
    <xf numFmtId="0" fontId="119" fillId="30" borderId="0" xfId="32" applyFont="1" applyFill="1" applyAlignment="1">
      <alignment horizontal="center"/>
    </xf>
    <xf numFmtId="0" fontId="129" fillId="30" borderId="0" xfId="32" applyFont="1" applyFill="1" applyAlignment="1">
      <alignment horizontal="center"/>
    </xf>
    <xf numFmtId="0" fontId="116" fillId="30" borderId="0" xfId="32" applyFont="1" applyFill="1" applyAlignment="1">
      <alignment horizontal="center"/>
    </xf>
    <xf numFmtId="0" fontId="4" fillId="30" borderId="0" xfId="32" applyFont="1" applyFill="1" applyAlignment="1">
      <alignment horizontal="left"/>
    </xf>
    <xf numFmtId="0" fontId="8" fillId="30" borderId="0" xfId="32" applyFont="1" applyFill="1" applyAlignment="1">
      <alignment horizontal="left"/>
    </xf>
    <xf numFmtId="0" fontId="20" fillId="30" borderId="0" xfId="32" applyFont="1" applyFill="1" applyAlignment="1">
      <alignment horizontal="left"/>
    </xf>
    <xf numFmtId="3" fontId="34" fillId="32" borderId="53" xfId="49" applyNumberFormat="1" applyFont="1" applyFill="1" applyBorder="1" applyAlignment="1" applyProtection="1">
      <alignment horizontal="left"/>
      <protection locked="0"/>
    </xf>
    <xf numFmtId="0" fontId="65" fillId="30" borderId="0" xfId="32" applyFont="1" applyFill="1" applyAlignment="1">
      <alignment horizontal="left"/>
    </xf>
    <xf numFmtId="0" fontId="35" fillId="29" borderId="0" xfId="0" applyNumberFormat="1" applyFont="1" applyFill="1" applyBorder="1" applyAlignment="1">
      <alignment horizontal="left"/>
    </xf>
    <xf numFmtId="0" fontId="34" fillId="29" borderId="0" xfId="0" applyFont="1" applyFill="1" applyBorder="1" applyAlignment="1">
      <alignment horizontal="left"/>
    </xf>
    <xf numFmtId="0" fontId="0" fillId="29" borderId="0" xfId="0" applyFill="1" applyAlignment="1">
      <alignment horizontal="left"/>
    </xf>
    <xf numFmtId="49" fontId="34" fillId="29" borderId="0" xfId="0" applyNumberFormat="1" applyFont="1" applyFill="1" applyBorder="1" applyAlignment="1">
      <alignment horizontal="left"/>
    </xf>
    <xf numFmtId="0" fontId="35" fillId="30" borderId="0" xfId="31" applyFont="1" applyFill="1" applyBorder="1" applyAlignment="1">
      <alignment horizontal="left"/>
    </xf>
    <xf numFmtId="3" fontId="35" fillId="29" borderId="17" xfId="32" applyNumberFormat="1" applyFont="1" applyFill="1" applyBorder="1" applyAlignment="1">
      <alignment horizontal="left" vertical="center" wrapText="1"/>
    </xf>
    <xf numFmtId="49" fontId="34" fillId="0" borderId="5" xfId="27" applyFont="1" applyFill="1" applyBorder="1">
      <alignment vertical="top" wrapText="1"/>
    </xf>
    <xf numFmtId="49" fontId="34" fillId="0" borderId="17" xfId="27" applyFont="1" applyFill="1" applyBorder="1">
      <alignment vertical="top" wrapText="1"/>
    </xf>
    <xf numFmtId="49" fontId="34" fillId="0" borderId="21" xfId="27" applyFont="1" applyFill="1" applyBorder="1">
      <alignment vertical="top" wrapText="1"/>
    </xf>
    <xf numFmtId="0" fontId="33" fillId="30" borderId="51" xfId="49" applyFont="1" applyFill="1" applyBorder="1" applyAlignment="1">
      <alignment horizontal="center" vertical="center"/>
    </xf>
    <xf numFmtId="9" fontId="33" fillId="30" borderId="51" xfId="49" applyNumberFormat="1" applyFont="1" applyFill="1" applyBorder="1" applyAlignment="1">
      <alignment horizontal="center" vertical="center"/>
    </xf>
    <xf numFmtId="0" fontId="33" fillId="30" borderId="51" xfId="49" applyFont="1" applyFill="1" applyBorder="1" applyAlignment="1">
      <alignment wrapText="1"/>
    </xf>
    <xf numFmtId="0" fontId="33" fillId="0" borderId="29" xfId="49" applyFont="1" applyFill="1" applyBorder="1" applyAlignment="1">
      <alignment horizontal="center" vertical="center" wrapText="1"/>
    </xf>
    <xf numFmtId="0" fontId="34" fillId="0" borderId="42" xfId="49" applyFont="1" applyFill="1" applyBorder="1" applyAlignment="1">
      <alignment horizontal="center" vertical="center" wrapText="1"/>
    </xf>
    <xf numFmtId="0" fontId="33" fillId="29" borderId="17" xfId="49" applyFont="1" applyFill="1" applyBorder="1" applyAlignment="1">
      <alignment horizontal="center" vertical="center"/>
    </xf>
    <xf numFmtId="9" fontId="33" fillId="29" borderId="17" xfId="49" applyNumberFormat="1" applyFont="1" applyFill="1" applyBorder="1" applyAlignment="1">
      <alignment horizontal="center" vertical="center"/>
    </xf>
    <xf numFmtId="0" fontId="33" fillId="29" borderId="17" xfId="49" applyFont="1" applyFill="1" applyBorder="1" applyAlignment="1">
      <alignment wrapText="1"/>
    </xf>
    <xf numFmtId="49" fontId="33" fillId="29" borderId="17" xfId="49" applyNumberFormat="1" applyFont="1" applyFill="1" applyBorder="1" applyAlignment="1">
      <alignment wrapText="1"/>
    </xf>
    <xf numFmtId="0" fontId="35" fillId="29" borderId="17" xfId="49" applyFont="1" applyFill="1" applyBorder="1" applyAlignment="1">
      <alignment horizontal="center" vertical="center"/>
    </xf>
    <xf numFmtId="9" fontId="35" fillId="29" borderId="17" xfId="50" applyFont="1" applyFill="1" applyBorder="1" applyAlignment="1">
      <alignment horizontal="center" vertical="center"/>
    </xf>
    <xf numFmtId="49" fontId="35" fillId="29" borderId="17" xfId="49" applyNumberFormat="1" applyFont="1" applyFill="1" applyBorder="1" applyAlignment="1">
      <alignment horizontal="right" wrapText="1"/>
    </xf>
    <xf numFmtId="9" fontId="35" fillId="29" borderId="17" xfId="49" applyNumberFormat="1" applyFont="1" applyFill="1" applyBorder="1" applyAlignment="1">
      <alignment horizontal="center" vertical="center"/>
    </xf>
    <xf numFmtId="49" fontId="33" fillId="29" borderId="17" xfId="49" applyNumberFormat="1" applyFont="1" applyFill="1" applyBorder="1" applyAlignment="1">
      <alignment horizontal="left" wrapText="1"/>
    </xf>
    <xf numFmtId="0" fontId="35" fillId="29" borderId="17" xfId="49" applyFont="1" applyFill="1" applyBorder="1" applyAlignment="1">
      <alignment horizontal="right" vertical="center" wrapText="1"/>
    </xf>
    <xf numFmtId="0" fontId="33" fillId="29" borderId="24" xfId="49" applyFont="1" applyFill="1" applyBorder="1" applyAlignment="1">
      <alignment horizontal="center" vertical="center"/>
    </xf>
    <xf numFmtId="9" fontId="33" fillId="29" borderId="24" xfId="49" applyNumberFormat="1" applyFont="1" applyFill="1" applyBorder="1" applyAlignment="1">
      <alignment horizontal="center" vertical="center"/>
    </xf>
    <xf numFmtId="0" fontId="4" fillId="29" borderId="24" xfId="49" applyFont="1" applyFill="1" applyBorder="1" applyAlignment="1">
      <alignment horizontal="center" vertical="center"/>
    </xf>
    <xf numFmtId="9" fontId="4" fillId="29" borderId="24" xfId="49" applyNumberFormat="1" applyFont="1" applyFill="1" applyBorder="1" applyAlignment="1">
      <alignment horizontal="center" vertical="center"/>
    </xf>
    <xf numFmtId="49" fontId="4" fillId="29" borderId="17" xfId="49" applyNumberFormat="1" applyFont="1" applyFill="1" applyBorder="1" applyAlignment="1">
      <alignment horizontal="left" wrapText="1"/>
    </xf>
    <xf numFmtId="0" fontId="33" fillId="29" borderId="17" xfId="49" applyFont="1" applyFill="1" applyBorder="1" applyAlignment="1">
      <alignment horizontal="left" vertical="center" wrapText="1"/>
    </xf>
    <xf numFmtId="9" fontId="33" fillId="29" borderId="30" xfId="49" applyNumberFormat="1" applyFont="1" applyFill="1" applyBorder="1" applyAlignment="1">
      <alignment horizontal="center" vertical="center"/>
    </xf>
    <xf numFmtId="49" fontId="33" fillId="29" borderId="21" xfId="49" applyNumberFormat="1" applyFont="1" applyFill="1" applyBorder="1" applyAlignment="1">
      <alignment wrapText="1"/>
    </xf>
    <xf numFmtId="49" fontId="13" fillId="30" borderId="0" xfId="49" applyNumberFormat="1" applyFont="1" applyFill="1" applyBorder="1" applyAlignment="1">
      <alignment horizontal="center" vertical="center"/>
    </xf>
    <xf numFmtId="0" fontId="11" fillId="26" borderId="1" xfId="49" applyFont="1" applyFill="1" applyBorder="1" applyAlignment="1">
      <alignment horizontal="center" vertical="center"/>
    </xf>
    <xf numFmtId="0" fontId="4" fillId="29" borderId="5" xfId="49" applyFont="1" applyFill="1" applyBorder="1" applyAlignment="1">
      <alignment horizontal="center" vertical="center"/>
    </xf>
    <xf numFmtId="9" fontId="4" fillId="29" borderId="5" xfId="49" applyNumberFormat="1" applyFont="1" applyFill="1" applyBorder="1" applyAlignment="1">
      <alignment horizontal="center" vertical="center"/>
    </xf>
    <xf numFmtId="0" fontId="4" fillId="29" borderId="17" xfId="49" applyFont="1" applyFill="1" applyBorder="1" applyAlignment="1">
      <alignment vertical="center" wrapText="1"/>
    </xf>
    <xf numFmtId="0" fontId="13" fillId="29" borderId="17" xfId="49" applyFont="1" applyFill="1" applyBorder="1" applyAlignment="1">
      <alignment horizontal="center" vertical="center"/>
    </xf>
    <xf numFmtId="9" fontId="13" fillId="29" borderId="17" xfId="49" applyNumberFormat="1" applyFont="1" applyFill="1" applyBorder="1" applyAlignment="1">
      <alignment horizontal="center" vertical="center"/>
    </xf>
    <xf numFmtId="0" fontId="4" fillId="29" borderId="17" xfId="49" applyFont="1" applyFill="1" applyBorder="1" applyAlignment="1">
      <alignment horizontal="center" vertical="center"/>
    </xf>
    <xf numFmtId="9" fontId="4" fillId="29" borderId="17" xfId="49" applyNumberFormat="1" applyFont="1" applyFill="1" applyBorder="1" applyAlignment="1">
      <alignment horizontal="center" vertical="center"/>
    </xf>
    <xf numFmtId="49" fontId="13" fillId="29" borderId="17" xfId="49" applyNumberFormat="1" applyFont="1" applyFill="1" applyBorder="1" applyAlignment="1">
      <alignment wrapText="1"/>
    </xf>
    <xf numFmtId="0" fontId="36" fillId="29" borderId="17" xfId="49" applyFont="1" applyFill="1" applyBorder="1" applyAlignment="1">
      <alignment horizontal="center" vertical="center"/>
    </xf>
    <xf numFmtId="9" fontId="36" fillId="29" borderId="17" xfId="50" applyFont="1" applyFill="1" applyBorder="1" applyAlignment="1">
      <alignment horizontal="center" vertical="center"/>
    </xf>
    <xf numFmtId="49" fontId="36" fillId="29" borderId="17" xfId="49" applyNumberFormat="1" applyFont="1" applyFill="1" applyBorder="1" applyAlignment="1">
      <alignment horizontal="right" wrapText="1"/>
    </xf>
    <xf numFmtId="9" fontId="4" fillId="29" borderId="17" xfId="50" applyFont="1" applyFill="1" applyBorder="1" applyAlignment="1">
      <alignment horizontal="center" vertical="center"/>
    </xf>
    <xf numFmtId="9" fontId="36" fillId="29" borderId="17" xfId="49" applyNumberFormat="1" applyFont="1" applyFill="1" applyBorder="1" applyAlignment="1">
      <alignment horizontal="center" vertical="center"/>
    </xf>
    <xf numFmtId="49" fontId="13" fillId="29" borderId="17" xfId="49" applyNumberFormat="1" applyFont="1" applyFill="1" applyBorder="1" applyAlignment="1">
      <alignment horizontal="left" wrapText="1"/>
    </xf>
    <xf numFmtId="0" fontId="36" fillId="29" borderId="17" xfId="49" applyFont="1" applyFill="1" applyBorder="1" applyAlignment="1">
      <alignment horizontal="right" vertical="center" wrapText="1"/>
    </xf>
    <xf numFmtId="0" fontId="4" fillId="29" borderId="17" xfId="49" applyFont="1" applyFill="1" applyBorder="1" applyAlignment="1">
      <alignment horizontal="left" vertical="center" wrapText="1"/>
    </xf>
    <xf numFmtId="0" fontId="13" fillId="29" borderId="24" xfId="49" applyFont="1" applyFill="1" applyBorder="1" applyAlignment="1">
      <alignment horizontal="center" vertical="center"/>
    </xf>
    <xf numFmtId="9" fontId="13" fillId="29" borderId="24" xfId="49" applyNumberFormat="1" applyFont="1" applyFill="1" applyBorder="1" applyAlignment="1">
      <alignment horizontal="center" vertical="center"/>
    </xf>
    <xf numFmtId="0" fontId="13" fillId="29" borderId="17" xfId="49" applyFont="1" applyFill="1" applyBorder="1" applyAlignment="1">
      <alignment horizontal="left" vertical="center" wrapText="1"/>
    </xf>
    <xf numFmtId="0" fontId="34" fillId="29" borderId="21" xfId="49" applyFont="1" applyFill="1" applyBorder="1" applyAlignment="1">
      <alignment horizontal="center" vertical="center"/>
    </xf>
    <xf numFmtId="49" fontId="34" fillId="29" borderId="21" xfId="49" applyNumberFormat="1" applyFont="1" applyFill="1" applyBorder="1" applyAlignment="1">
      <alignment horizontal="left" wrapText="1"/>
    </xf>
    <xf numFmtId="0" fontId="136" fillId="30" borderId="0" xfId="0" applyNumberFormat="1" applyFont="1" applyFill="1" applyAlignment="1">
      <alignment horizontal="center"/>
    </xf>
    <xf numFmtId="0" fontId="36" fillId="30" borderId="0" xfId="0" applyNumberFormat="1" applyFont="1" applyFill="1"/>
    <xf numFmtId="0" fontId="0" fillId="0" borderId="0" xfId="0" applyAlignment="1">
      <alignment horizontal="center"/>
    </xf>
    <xf numFmtId="0" fontId="95" fillId="30" borderId="0" xfId="49" applyFont="1" applyFill="1" applyAlignment="1" applyProtection="1">
      <alignment wrapText="1"/>
    </xf>
    <xf numFmtId="0" fontId="34" fillId="0" borderId="29" xfId="0" applyFont="1" applyBorder="1" applyAlignment="1">
      <alignment vertical="center"/>
    </xf>
    <xf numFmtId="0" fontId="34" fillId="0" borderId="24" xfId="0" applyFont="1" applyBorder="1" applyAlignment="1">
      <alignment vertical="center"/>
    </xf>
    <xf numFmtId="0" fontId="33" fillId="22" borderId="1" xfId="0" applyFont="1" applyFill="1" applyBorder="1" applyAlignment="1">
      <alignment vertical="center" wrapText="1"/>
    </xf>
    <xf numFmtId="0" fontId="33" fillId="0" borderId="25" xfId="0" applyFont="1" applyBorder="1" applyAlignment="1">
      <alignment horizontal="right" vertical="center"/>
    </xf>
    <xf numFmtId="0" fontId="34" fillId="0" borderId="24" xfId="0" applyFont="1" applyBorder="1" applyAlignment="1">
      <alignment vertical="center" wrapText="1"/>
    </xf>
    <xf numFmtId="0" fontId="34" fillId="0" borderId="36" xfId="0" applyFont="1" applyBorder="1" applyAlignment="1">
      <alignment vertical="center" wrapText="1"/>
    </xf>
    <xf numFmtId="3" fontId="34" fillId="32" borderId="17" xfId="49" applyNumberFormat="1" applyFont="1" applyFill="1" applyBorder="1" applyAlignment="1" applyProtection="1">
      <alignment horizontal="center" vertical="center"/>
      <protection locked="0"/>
    </xf>
    <xf numFmtId="1" fontId="13" fillId="27" borderId="9" xfId="21" applyFont="1" applyFill="1" applyBorder="1" applyAlignment="1">
      <alignment horizontal="center" vertical="center" wrapText="1"/>
    </xf>
    <xf numFmtId="1" fontId="13" fillId="27" borderId="65" xfId="21" applyFont="1" applyFill="1" applyBorder="1" applyAlignment="1">
      <alignment horizontal="center" vertical="center" wrapText="1"/>
    </xf>
    <xf numFmtId="1" fontId="13" fillId="27" borderId="10" xfId="21" applyFont="1" applyFill="1" applyBorder="1" applyAlignment="1">
      <alignment horizontal="center" vertical="center" wrapText="1"/>
    </xf>
    <xf numFmtId="0" fontId="0" fillId="0" borderId="11" xfId="0" applyBorder="1" applyAlignment="1">
      <alignment horizontal="center"/>
    </xf>
    <xf numFmtId="3" fontId="38" fillId="0" borderId="7" xfId="0" applyNumberFormat="1" applyFont="1" applyBorder="1" applyAlignment="1">
      <alignment horizontal="center" vertical="center"/>
    </xf>
    <xf numFmtId="3" fontId="38" fillId="0" borderId="53" xfId="0" applyNumberFormat="1" applyFont="1" applyBorder="1" applyAlignment="1">
      <alignment horizontal="center" vertical="center"/>
    </xf>
    <xf numFmtId="3" fontId="38" fillId="0" borderId="32" xfId="0" applyNumberFormat="1" applyFont="1" applyBorder="1" applyAlignment="1">
      <alignment horizontal="center" vertical="center"/>
    </xf>
    <xf numFmtId="3" fontId="40" fillId="0" borderId="52" xfId="0" applyNumberFormat="1" applyFont="1" applyBorder="1" applyAlignment="1">
      <alignment horizontal="center" vertical="center"/>
    </xf>
    <xf numFmtId="3" fontId="40" fillId="0" borderId="7" xfId="0" applyNumberFormat="1" applyFont="1" applyBorder="1" applyAlignment="1">
      <alignment horizontal="center" vertical="center"/>
    </xf>
    <xf numFmtId="3" fontId="40" fillId="0" borderId="53" xfId="0" applyNumberFormat="1" applyFont="1" applyBorder="1" applyAlignment="1">
      <alignment horizontal="center" vertical="center"/>
    </xf>
    <xf numFmtId="3" fontId="40" fillId="0" borderId="32" xfId="0" applyNumberFormat="1" applyFont="1" applyBorder="1" applyAlignment="1">
      <alignment horizontal="center" vertical="center"/>
    </xf>
    <xf numFmtId="3" fontId="38" fillId="32" borderId="32" xfId="49" applyNumberFormat="1" applyFont="1" applyFill="1" applyBorder="1" applyAlignment="1" applyProtection="1">
      <alignment horizontal="center"/>
      <protection locked="0"/>
    </xf>
    <xf numFmtId="3" fontId="38" fillId="32" borderId="7" xfId="49" applyNumberFormat="1" applyFont="1" applyFill="1" applyBorder="1" applyAlignment="1" applyProtection="1">
      <alignment horizontal="center"/>
      <protection locked="0"/>
    </xf>
    <xf numFmtId="3" fontId="38" fillId="32" borderId="53" xfId="49" applyNumberFormat="1" applyFont="1" applyFill="1" applyBorder="1" applyAlignment="1" applyProtection="1">
      <alignment horizontal="center"/>
      <protection locked="0"/>
    </xf>
    <xf numFmtId="3" fontId="38" fillId="32" borderId="52" xfId="49" applyNumberFormat="1" applyFont="1" applyFill="1" applyBorder="1" applyAlignment="1" applyProtection="1">
      <alignment horizontal="center"/>
      <protection locked="0"/>
    </xf>
    <xf numFmtId="3" fontId="40" fillId="0" borderId="32" xfId="0" applyNumberFormat="1" applyFont="1" applyFill="1" applyBorder="1" applyAlignment="1">
      <alignment horizontal="center"/>
    </xf>
    <xf numFmtId="3" fontId="40" fillId="0" borderId="7" xfId="0" applyNumberFormat="1" applyFont="1" applyFill="1" applyBorder="1" applyAlignment="1">
      <alignment horizontal="center"/>
    </xf>
    <xf numFmtId="3" fontId="40" fillId="0" borderId="53" xfId="0" applyNumberFormat="1" applyFont="1" applyFill="1" applyBorder="1" applyAlignment="1">
      <alignment horizontal="center"/>
    </xf>
    <xf numFmtId="3" fontId="40" fillId="0" borderId="52" xfId="0" applyNumberFormat="1" applyFont="1" applyFill="1" applyBorder="1" applyAlignment="1">
      <alignment horizontal="center"/>
    </xf>
    <xf numFmtId="3" fontId="38" fillId="32" borderId="23" xfId="49" applyNumberFormat="1" applyFont="1" applyFill="1" applyBorder="1" applyAlignment="1" applyProtection="1">
      <alignment horizontal="center"/>
      <protection locked="0"/>
    </xf>
    <xf numFmtId="3" fontId="38" fillId="32" borderId="56" xfId="49" applyNumberFormat="1" applyFont="1" applyFill="1" applyBorder="1" applyAlignment="1" applyProtection="1">
      <alignment horizontal="center"/>
      <protection locked="0"/>
    </xf>
    <xf numFmtId="3" fontId="38" fillId="32" borderId="77" xfId="49" applyNumberFormat="1" applyFont="1" applyFill="1" applyBorder="1" applyAlignment="1" applyProtection="1">
      <alignment horizontal="center"/>
      <protection locked="0"/>
    </xf>
    <xf numFmtId="3" fontId="38" fillId="32" borderId="57" xfId="49" applyNumberFormat="1" applyFont="1" applyFill="1" applyBorder="1" applyAlignment="1" applyProtection="1">
      <alignment horizontal="center"/>
      <protection locked="0"/>
    </xf>
    <xf numFmtId="3" fontId="38" fillId="32" borderId="28" xfId="49" applyNumberFormat="1" applyFont="1" applyFill="1" applyBorder="1" applyAlignment="1" applyProtection="1">
      <alignment horizontal="center"/>
      <protection locked="0"/>
    </xf>
    <xf numFmtId="3" fontId="38" fillId="32" borderId="79" xfId="49" applyNumberFormat="1" applyFont="1" applyFill="1" applyBorder="1" applyAlignment="1" applyProtection="1">
      <alignment horizontal="center"/>
      <protection locked="0"/>
    </xf>
    <xf numFmtId="3" fontId="40" fillId="0" borderId="56" xfId="0" applyNumberFormat="1" applyFont="1" applyFill="1" applyBorder="1" applyAlignment="1">
      <alignment horizontal="center"/>
    </xf>
    <xf numFmtId="3" fontId="40" fillId="0" borderId="77" xfId="0" applyNumberFormat="1" applyFont="1" applyFill="1" applyBorder="1" applyAlignment="1">
      <alignment horizontal="center"/>
    </xf>
    <xf numFmtId="3" fontId="40" fillId="0" borderId="57" xfId="0" applyNumberFormat="1" applyFont="1" applyFill="1" applyBorder="1" applyAlignment="1">
      <alignment horizontal="center"/>
    </xf>
    <xf numFmtId="3" fontId="4" fillId="0" borderId="0" xfId="0" applyNumberFormat="1" applyFont="1" applyFill="1" applyBorder="1" applyAlignment="1">
      <alignment horizontal="center"/>
    </xf>
    <xf numFmtId="0" fontId="51" fillId="0" borderId="0" xfId="0" applyFont="1" applyAlignment="1">
      <alignment horizontal="center"/>
    </xf>
    <xf numFmtId="2" fontId="32" fillId="0" borderId="0" xfId="0" applyNumberFormat="1" applyFont="1" applyAlignment="1">
      <alignment horizontal="center"/>
    </xf>
    <xf numFmtId="1" fontId="32" fillId="0" borderId="0" xfId="0" applyNumberFormat="1" applyFont="1" applyFill="1" applyAlignment="1">
      <alignment horizontal="center"/>
    </xf>
    <xf numFmtId="0" fontId="20" fillId="0" borderId="0" xfId="0" applyFont="1" applyAlignment="1">
      <alignment horizontal="center"/>
    </xf>
    <xf numFmtId="0" fontId="4" fillId="0" borderId="11" xfId="0" applyFont="1" applyBorder="1" applyAlignment="1">
      <alignment horizontal="center"/>
    </xf>
    <xf numFmtId="0" fontId="4" fillId="0" borderId="41" xfId="0" applyFont="1" applyBorder="1" applyAlignment="1">
      <alignment horizontal="center"/>
    </xf>
    <xf numFmtId="0" fontId="4" fillId="0" borderId="0" xfId="0" applyFont="1" applyBorder="1" applyAlignment="1">
      <alignment horizontal="center"/>
    </xf>
    <xf numFmtId="49" fontId="4" fillId="30" borderId="0" xfId="0" applyNumberFormat="1" applyFont="1" applyFill="1" applyAlignment="1">
      <alignment horizontal="center"/>
    </xf>
    <xf numFmtId="49" fontId="13" fillId="30" borderId="0" xfId="0" applyNumberFormat="1" applyFont="1" applyFill="1" applyAlignment="1">
      <alignment horizontal="center"/>
    </xf>
    <xf numFmtId="0" fontId="36" fillId="30" borderId="0" xfId="0" applyFont="1" applyFill="1" applyAlignment="1">
      <alignment horizontal="center"/>
    </xf>
    <xf numFmtId="3" fontId="40" fillId="0" borderId="32" xfId="0" applyNumberFormat="1" applyFont="1" applyFill="1" applyBorder="1" applyAlignment="1">
      <alignment horizontal="center" vertical="center"/>
    </xf>
    <xf numFmtId="3" fontId="40" fillId="0" borderId="7" xfId="0" applyNumberFormat="1" applyFont="1" applyFill="1" applyBorder="1" applyAlignment="1">
      <alignment horizontal="center" vertical="center"/>
    </xf>
    <xf numFmtId="3" fontId="40" fillId="0" borderId="53" xfId="0" applyNumberFormat="1" applyFont="1" applyFill="1" applyBorder="1" applyAlignment="1">
      <alignment horizontal="center" vertical="center"/>
    </xf>
    <xf numFmtId="3" fontId="40" fillId="0" borderId="52" xfId="0" applyNumberFormat="1" applyFont="1" applyFill="1" applyBorder="1" applyAlignment="1">
      <alignment horizontal="center" vertical="center"/>
    </xf>
    <xf numFmtId="0" fontId="7" fillId="30" borderId="0" xfId="32" applyFont="1" applyFill="1" applyAlignment="1" applyProtection="1">
      <alignment vertical="center" wrapText="1"/>
    </xf>
    <xf numFmtId="0" fontId="12" fillId="30" borderId="0" xfId="32" applyFont="1" applyFill="1" applyAlignment="1" applyProtection="1">
      <alignment vertical="center" wrapText="1"/>
    </xf>
    <xf numFmtId="0" fontId="46" fillId="30" borderId="20" xfId="32" applyFont="1" applyFill="1" applyBorder="1" applyAlignment="1" applyProtection="1">
      <alignment vertical="center" wrapText="1"/>
    </xf>
    <xf numFmtId="3" fontId="4" fillId="3" borderId="55" xfId="32" applyNumberFormat="1" applyFont="1" applyFill="1" applyBorder="1" applyAlignment="1" applyProtection="1">
      <alignment horizontal="center" vertical="center"/>
      <protection locked="0"/>
    </xf>
    <xf numFmtId="3" fontId="4" fillId="3" borderId="69" xfId="32" applyNumberFormat="1" applyFont="1" applyFill="1" applyBorder="1" applyAlignment="1" applyProtection="1">
      <alignment horizontal="center" vertical="center"/>
      <protection locked="0"/>
    </xf>
    <xf numFmtId="3" fontId="4" fillId="3" borderId="72" xfId="0" applyNumberFormat="1" applyFont="1" applyFill="1" applyBorder="1" applyAlignment="1" applyProtection="1">
      <alignment horizontal="center" vertical="center"/>
      <protection locked="0"/>
    </xf>
    <xf numFmtId="3" fontId="4" fillId="3" borderId="73" xfId="0" applyNumberFormat="1" applyFont="1" applyFill="1" applyBorder="1" applyAlignment="1" applyProtection="1">
      <alignment horizontal="center" vertical="center"/>
      <protection locked="0"/>
    </xf>
    <xf numFmtId="3" fontId="4" fillId="3" borderId="73" xfId="0" applyNumberFormat="1" applyFont="1" applyFill="1" applyBorder="1" applyAlignment="1" applyProtection="1">
      <alignment horizontal="center" vertical="center" wrapText="1"/>
      <protection locked="0"/>
    </xf>
    <xf numFmtId="3" fontId="4" fillId="3" borderId="76" xfId="0" applyNumberFormat="1" applyFont="1" applyFill="1" applyBorder="1" applyAlignment="1" applyProtection="1">
      <alignment horizontal="center" vertical="center" wrapText="1"/>
      <protection locked="0"/>
    </xf>
    <xf numFmtId="3" fontId="4" fillId="3" borderId="32" xfId="0" applyNumberFormat="1" applyFont="1" applyFill="1" applyBorder="1" applyAlignment="1" applyProtection="1">
      <alignment horizontal="center" vertical="center"/>
      <protection locked="0"/>
    </xf>
    <xf numFmtId="3" fontId="4" fillId="3" borderId="7" xfId="0" applyNumberFormat="1" applyFont="1" applyFill="1" applyBorder="1" applyAlignment="1" applyProtection="1">
      <alignment horizontal="center" vertical="center"/>
      <protection locked="0"/>
    </xf>
    <xf numFmtId="3" fontId="4" fillId="3" borderId="7" xfId="0" applyNumberFormat="1" applyFont="1" applyFill="1" applyBorder="1" applyAlignment="1" applyProtection="1">
      <alignment horizontal="center" vertical="center" wrapText="1"/>
      <protection locked="0"/>
    </xf>
    <xf numFmtId="3" fontId="4" fillId="3" borderId="53" xfId="0" applyNumberFormat="1" applyFont="1" applyFill="1" applyBorder="1" applyAlignment="1" applyProtection="1">
      <alignment horizontal="center" vertical="center" wrapText="1"/>
      <protection locked="0"/>
    </xf>
    <xf numFmtId="3" fontId="4" fillId="3" borderId="32" xfId="0" applyNumberFormat="1" applyFont="1" applyFill="1" applyBorder="1" applyAlignment="1" applyProtection="1">
      <alignment horizontal="center" vertical="center" wrapText="1"/>
      <protection locked="0"/>
    </xf>
    <xf numFmtId="3" fontId="4" fillId="3" borderId="79" xfId="0" applyNumberFormat="1" applyFont="1" applyFill="1" applyBorder="1" applyAlignment="1" applyProtection="1">
      <alignment horizontal="center" vertical="center"/>
      <protection locked="0"/>
    </xf>
    <xf numFmtId="3" fontId="4" fillId="3" borderId="77" xfId="0" applyNumberFormat="1" applyFont="1" applyFill="1" applyBorder="1" applyAlignment="1" applyProtection="1">
      <alignment horizontal="center" vertical="center"/>
      <protection locked="0"/>
    </xf>
    <xf numFmtId="3" fontId="4" fillId="3" borderId="77" xfId="0" applyNumberFormat="1" applyFont="1" applyFill="1" applyBorder="1" applyAlignment="1" applyProtection="1">
      <alignment horizontal="center" vertical="center" wrapText="1"/>
      <protection locked="0"/>
    </xf>
    <xf numFmtId="3" fontId="4" fillId="3" borderId="57" xfId="0" applyNumberFormat="1" applyFont="1" applyFill="1" applyBorder="1" applyAlignment="1" applyProtection="1">
      <alignment horizontal="center" vertical="center" wrapText="1"/>
      <protection locked="0"/>
    </xf>
    <xf numFmtId="3" fontId="4" fillId="3" borderId="62" xfId="0" applyNumberFormat="1" applyFont="1" applyFill="1" applyBorder="1" applyAlignment="1" applyProtection="1">
      <alignment horizontal="center" vertical="center" wrapText="1"/>
      <protection locked="0"/>
    </xf>
    <xf numFmtId="3" fontId="4" fillId="3" borderId="15" xfId="0" applyNumberFormat="1" applyFont="1" applyFill="1" applyBorder="1" applyAlignment="1" applyProtection="1">
      <alignment horizontal="center" vertical="center" wrapText="1"/>
      <protection locked="0"/>
    </xf>
    <xf numFmtId="3" fontId="4" fillId="3" borderId="72" xfId="0" applyNumberFormat="1" applyFont="1" applyFill="1" applyBorder="1" applyAlignment="1" applyProtection="1">
      <alignment horizontal="center" vertical="center" wrapText="1"/>
      <protection locked="0"/>
    </xf>
    <xf numFmtId="3" fontId="4" fillId="3" borderId="79" xfId="0" applyNumberFormat="1" applyFont="1" applyFill="1" applyBorder="1" applyAlignment="1" applyProtection="1">
      <alignment horizontal="center" vertical="center" wrapText="1"/>
      <protection locked="0"/>
    </xf>
    <xf numFmtId="172" fontId="4" fillId="3" borderId="32" xfId="0" applyNumberFormat="1" applyFont="1" applyFill="1" applyBorder="1" applyAlignment="1" applyProtection="1">
      <alignment horizontal="center" vertical="center" wrapText="1"/>
      <protection locked="0"/>
    </xf>
    <xf numFmtId="172" fontId="4" fillId="3" borderId="7" xfId="0" applyNumberFormat="1" applyFont="1" applyFill="1" applyBorder="1" applyAlignment="1" applyProtection="1">
      <alignment horizontal="center" vertical="center" wrapText="1"/>
      <protection locked="0"/>
    </xf>
    <xf numFmtId="172" fontId="4" fillId="3" borderId="53" xfId="0" applyNumberFormat="1" applyFont="1" applyFill="1" applyBorder="1" applyAlignment="1" applyProtection="1">
      <alignment horizontal="center" vertical="center" wrapText="1"/>
      <protection locked="0"/>
    </xf>
    <xf numFmtId="10" fontId="4" fillId="22" borderId="12" xfId="1" applyNumberFormat="1" applyFont="1" applyFill="1" applyBorder="1" applyAlignment="1">
      <alignment horizontal="center" vertical="center"/>
    </xf>
    <xf numFmtId="10" fontId="4" fillId="22" borderId="107" xfId="1" applyNumberFormat="1" applyFont="1" applyFill="1" applyBorder="1" applyAlignment="1">
      <alignment horizontal="center" vertical="center"/>
    </xf>
    <xf numFmtId="2" fontId="4" fillId="22" borderId="12" xfId="1" applyNumberFormat="1" applyFont="1" applyFill="1" applyBorder="1" applyAlignment="1">
      <alignment horizontal="center" vertical="center"/>
    </xf>
    <xf numFmtId="2" fontId="4" fillId="22" borderId="107" xfId="1" applyNumberFormat="1" applyFont="1" applyFill="1" applyBorder="1" applyAlignment="1">
      <alignment horizontal="center" vertical="center"/>
    </xf>
    <xf numFmtId="2" fontId="4" fillId="22" borderId="83" xfId="1" applyNumberFormat="1" applyFont="1" applyFill="1" applyBorder="1" applyAlignment="1">
      <alignment horizontal="center" vertical="center"/>
    </xf>
    <xf numFmtId="2" fontId="4" fillId="22" borderId="108" xfId="1" applyNumberFormat="1" applyFont="1" applyFill="1" applyBorder="1" applyAlignment="1">
      <alignment horizontal="center" vertical="center"/>
    </xf>
    <xf numFmtId="10" fontId="4" fillId="22" borderId="83" xfId="1" applyNumberFormat="1" applyFont="1" applyFill="1" applyBorder="1" applyAlignment="1">
      <alignment horizontal="center" vertical="center"/>
    </xf>
    <xf numFmtId="10" fontId="4" fillId="22" borderId="108" xfId="1" applyNumberFormat="1" applyFont="1" applyFill="1" applyBorder="1" applyAlignment="1">
      <alignment horizontal="center" vertical="center"/>
    </xf>
    <xf numFmtId="4" fontId="4" fillId="22" borderId="83" xfId="1" applyNumberFormat="1" applyFont="1" applyFill="1" applyBorder="1" applyAlignment="1">
      <alignment horizontal="center" vertical="center"/>
    </xf>
    <xf numFmtId="4" fontId="4" fillId="22" borderId="108" xfId="1" applyNumberFormat="1" applyFont="1" applyFill="1" applyBorder="1" applyAlignment="1">
      <alignment horizontal="center" vertical="center"/>
    </xf>
    <xf numFmtId="4" fontId="4" fillId="22" borderId="12" xfId="1" applyNumberFormat="1" applyFont="1" applyFill="1" applyBorder="1" applyAlignment="1">
      <alignment horizontal="center" vertical="center"/>
    </xf>
    <xf numFmtId="4" fontId="4" fillId="22" borderId="107" xfId="1" applyNumberFormat="1" applyFont="1" applyFill="1" applyBorder="1" applyAlignment="1">
      <alignment horizontal="center" vertical="center"/>
    </xf>
    <xf numFmtId="169" fontId="4" fillId="22" borderId="12" xfId="1" applyNumberFormat="1" applyFont="1" applyFill="1" applyBorder="1" applyAlignment="1">
      <alignment horizontal="center" vertical="center"/>
    </xf>
    <xf numFmtId="169" fontId="4" fillId="22" borderId="107" xfId="1" applyNumberFormat="1" applyFont="1" applyFill="1" applyBorder="1" applyAlignment="1">
      <alignment horizontal="center" vertical="center"/>
    </xf>
    <xf numFmtId="2" fontId="4" fillId="22" borderId="84" xfId="1" applyNumberFormat="1" applyFont="1" applyFill="1" applyBorder="1" applyAlignment="1">
      <alignment horizontal="center" vertical="center"/>
    </xf>
    <xf numFmtId="2" fontId="4" fillId="22" borderId="109" xfId="1" applyNumberFormat="1" applyFont="1" applyFill="1" applyBorder="1" applyAlignment="1">
      <alignment horizontal="center" vertical="center"/>
    </xf>
    <xf numFmtId="3" fontId="61" fillId="26" borderId="44" xfId="52" applyNumberFormat="1" applyFont="1" applyFill="1" applyBorder="1" applyAlignment="1" applyProtection="1">
      <alignment horizontal="center" vertical="center" wrapText="1"/>
    </xf>
    <xf numFmtId="3" fontId="61" fillId="26" borderId="31" xfId="52" applyNumberFormat="1" applyFont="1" applyFill="1" applyBorder="1" applyAlignment="1" applyProtection="1">
      <alignment horizontal="center" vertical="center" wrapText="1"/>
    </xf>
    <xf numFmtId="3" fontId="61" fillId="26" borderId="50" xfId="52" applyNumberFormat="1" applyFont="1" applyFill="1" applyBorder="1" applyAlignment="1" applyProtection="1">
      <alignment horizontal="center" vertical="center" wrapText="1"/>
    </xf>
    <xf numFmtId="172" fontId="61" fillId="26" borderId="69" xfId="52" applyNumberFormat="1" applyFont="1" applyFill="1" applyBorder="1" applyAlignment="1" applyProtection="1">
      <alignment horizontal="center" vertical="center" wrapText="1"/>
    </xf>
    <xf numFmtId="172" fontId="61" fillId="26" borderId="63" xfId="52" applyNumberFormat="1" applyFont="1" applyFill="1" applyBorder="1" applyAlignment="1" applyProtection="1">
      <alignment horizontal="center" vertical="center" wrapText="1"/>
    </xf>
    <xf numFmtId="172" fontId="61" fillId="26" borderId="55" xfId="52" applyNumberFormat="1" applyFont="1" applyFill="1" applyBorder="1" applyAlignment="1" applyProtection="1">
      <alignment horizontal="center" vertical="center" wrapText="1"/>
    </xf>
    <xf numFmtId="3" fontId="61" fillId="34" borderId="72" xfId="52" applyNumberFormat="1" applyFont="1" applyFill="1" applyBorder="1" applyAlignment="1" applyProtection="1">
      <alignment horizontal="center" vertical="center"/>
    </xf>
    <xf numFmtId="3" fontId="61" fillId="34" borderId="14" xfId="52" applyNumberFormat="1" applyFont="1" applyFill="1" applyBorder="1" applyAlignment="1" applyProtection="1">
      <alignment horizontal="center" vertical="center"/>
    </xf>
    <xf numFmtId="3" fontId="52" fillId="3" borderId="32" xfId="52" applyNumberFormat="1" applyFont="1" applyFill="1" applyBorder="1" applyAlignment="1" applyProtection="1">
      <alignment horizontal="center" vertical="center"/>
      <protection locked="0"/>
    </xf>
    <xf numFmtId="3" fontId="52" fillId="3" borderId="15" xfId="52" applyNumberFormat="1" applyFont="1" applyFill="1" applyBorder="1" applyAlignment="1" applyProtection="1">
      <alignment horizontal="center" vertical="center"/>
      <protection locked="0"/>
    </xf>
    <xf numFmtId="3" fontId="52" fillId="3" borderId="7" xfId="52" applyNumberFormat="1" applyFont="1" applyFill="1" applyBorder="1" applyAlignment="1" applyProtection="1">
      <alignment horizontal="center" vertical="center"/>
      <protection locked="0"/>
    </xf>
    <xf numFmtId="3" fontId="52" fillId="3" borderId="53" xfId="52" applyNumberFormat="1" applyFont="1" applyFill="1" applyBorder="1" applyAlignment="1" applyProtection="1">
      <alignment horizontal="center" vertical="center"/>
      <protection locked="0"/>
    </xf>
    <xf numFmtId="3" fontId="52" fillId="3" borderId="79" xfId="52" applyNumberFormat="1" applyFont="1" applyFill="1" applyBorder="1" applyAlignment="1" applyProtection="1">
      <alignment horizontal="center" vertical="center"/>
      <protection locked="0"/>
    </xf>
    <xf numFmtId="3" fontId="52" fillId="3" borderId="77" xfId="52" applyNumberFormat="1" applyFont="1" applyFill="1" applyBorder="1" applyAlignment="1" applyProtection="1">
      <alignment horizontal="center" vertical="center"/>
      <protection locked="0"/>
    </xf>
    <xf numFmtId="3" fontId="61" fillId="34" borderId="44" xfId="52" applyNumberFormat="1" applyFont="1" applyFill="1" applyBorder="1" applyAlignment="1" applyProtection="1">
      <alignment horizontal="center" vertical="center"/>
    </xf>
    <xf numFmtId="3" fontId="61" fillId="34" borderId="31" xfId="52" applyNumberFormat="1" applyFont="1" applyFill="1" applyBorder="1" applyAlignment="1" applyProtection="1">
      <alignment horizontal="center" vertical="center"/>
    </xf>
    <xf numFmtId="3" fontId="61" fillId="34" borderId="50" xfId="52" applyNumberFormat="1" applyFont="1" applyFill="1" applyBorder="1" applyAlignment="1" applyProtection="1">
      <alignment horizontal="center" vertical="center"/>
    </xf>
    <xf numFmtId="172" fontId="61" fillId="34" borderId="69" xfId="52" applyNumberFormat="1" applyFont="1" applyFill="1" applyBorder="1" applyAlignment="1" applyProtection="1">
      <alignment horizontal="center" vertical="center"/>
    </xf>
    <xf numFmtId="172" fontId="61" fillId="34" borderId="63" xfId="52" applyNumberFormat="1" applyFont="1" applyFill="1" applyBorder="1" applyAlignment="1" applyProtection="1">
      <alignment horizontal="center" vertical="center"/>
    </xf>
    <xf numFmtId="172" fontId="61" fillId="34" borderId="55" xfId="52" applyNumberFormat="1" applyFont="1" applyFill="1" applyBorder="1" applyAlignment="1" applyProtection="1">
      <alignment horizontal="center" vertical="center"/>
    </xf>
    <xf numFmtId="3" fontId="61" fillId="30" borderId="72" xfId="52" applyNumberFormat="1" applyFont="1" applyFill="1" applyBorder="1" applyAlignment="1" applyProtection="1">
      <alignment horizontal="center" vertical="center"/>
    </xf>
    <xf numFmtId="3" fontId="61" fillId="30" borderId="73" xfId="52" applyNumberFormat="1" applyFont="1" applyFill="1" applyBorder="1" applyAlignment="1" applyProtection="1">
      <alignment horizontal="center" vertical="center"/>
    </xf>
    <xf numFmtId="3" fontId="61" fillId="30" borderId="76" xfId="52" applyNumberFormat="1" applyFont="1" applyFill="1" applyBorder="1" applyAlignment="1" applyProtection="1">
      <alignment horizontal="center" vertical="center"/>
    </xf>
    <xf numFmtId="172" fontId="61" fillId="30" borderId="32" xfId="52" applyNumberFormat="1" applyFont="1" applyFill="1" applyBorder="1" applyAlignment="1" applyProtection="1">
      <alignment horizontal="center" vertical="center"/>
    </xf>
    <xf numFmtId="172" fontId="61" fillId="30" borderId="7" xfId="52" applyNumberFormat="1" applyFont="1" applyFill="1" applyBorder="1" applyAlignment="1" applyProtection="1">
      <alignment horizontal="center" vertical="center"/>
    </xf>
    <xf numFmtId="172" fontId="61" fillId="30" borderId="53" xfId="52" applyNumberFormat="1" applyFont="1" applyFill="1" applyBorder="1" applyAlignment="1" applyProtection="1">
      <alignment horizontal="center" vertical="center"/>
    </xf>
    <xf numFmtId="3" fontId="61" fillId="30" borderId="32" xfId="52" applyNumberFormat="1" applyFont="1" applyFill="1" applyBorder="1" applyAlignment="1" applyProtection="1">
      <alignment horizontal="center" vertical="center"/>
    </xf>
    <xf numFmtId="3" fontId="61" fillId="30" borderId="7" xfId="52" applyNumberFormat="1" applyFont="1" applyFill="1" applyBorder="1" applyAlignment="1" applyProtection="1">
      <alignment horizontal="center" vertical="center"/>
    </xf>
    <xf numFmtId="3" fontId="61" fillId="30" borderId="53" xfId="52" applyNumberFormat="1" applyFont="1" applyFill="1" applyBorder="1" applyAlignment="1" applyProtection="1">
      <alignment horizontal="center" vertical="center"/>
    </xf>
    <xf numFmtId="3" fontId="61" fillId="30" borderId="44" xfId="52" applyNumberFormat="1" applyFont="1" applyFill="1" applyBorder="1" applyAlignment="1" applyProtection="1">
      <alignment horizontal="center" vertical="center"/>
    </xf>
    <xf numFmtId="3" fontId="61" fillId="30" borderId="31" xfId="52" applyNumberFormat="1" applyFont="1" applyFill="1" applyBorder="1" applyAlignment="1" applyProtection="1">
      <alignment horizontal="center" vertical="center"/>
    </xf>
    <xf numFmtId="3" fontId="61" fillId="30" borderId="50" xfId="52" applyNumberFormat="1" applyFont="1" applyFill="1" applyBorder="1" applyAlignment="1" applyProtection="1">
      <alignment horizontal="center" vertical="center"/>
    </xf>
    <xf numFmtId="10" fontId="61" fillId="30" borderId="32" xfId="52" applyNumberFormat="1" applyFont="1" applyFill="1" applyBorder="1" applyAlignment="1" applyProtection="1">
      <alignment horizontal="center" vertical="center"/>
    </xf>
    <xf numFmtId="10" fontId="61" fillId="30" borderId="7" xfId="52" applyNumberFormat="1" applyFont="1" applyFill="1" applyBorder="1" applyAlignment="1" applyProtection="1">
      <alignment horizontal="center" vertical="center"/>
    </xf>
    <xf numFmtId="10" fontId="61" fillId="30" borderId="53" xfId="52" applyNumberFormat="1" applyFont="1" applyFill="1" applyBorder="1" applyAlignment="1" applyProtection="1">
      <alignment horizontal="center" vertical="center"/>
    </xf>
    <xf numFmtId="3" fontId="52" fillId="3" borderId="19" xfId="52" applyNumberFormat="1" applyFont="1" applyFill="1" applyBorder="1" applyAlignment="1" applyProtection="1">
      <alignment horizontal="center" vertical="center"/>
      <protection locked="0"/>
    </xf>
    <xf numFmtId="3" fontId="61" fillId="34" borderId="73" xfId="52" applyNumberFormat="1" applyFont="1" applyFill="1" applyBorder="1" applyAlignment="1" applyProtection="1">
      <alignment horizontal="center" vertical="center"/>
    </xf>
    <xf numFmtId="3" fontId="61" fillId="34" borderId="76" xfId="52" applyNumberFormat="1" applyFont="1" applyFill="1" applyBorder="1" applyAlignment="1" applyProtection="1">
      <alignment horizontal="center" vertical="center"/>
    </xf>
    <xf numFmtId="172" fontId="61" fillId="34" borderId="32" xfId="52" applyNumberFormat="1" applyFont="1" applyFill="1" applyBorder="1" applyAlignment="1" applyProtection="1">
      <alignment horizontal="center" vertical="center"/>
    </xf>
    <xf numFmtId="172" fontId="61" fillId="34" borderId="7" xfId="52" applyNumberFormat="1" applyFont="1" applyFill="1" applyBorder="1" applyAlignment="1" applyProtection="1">
      <alignment horizontal="center" vertical="center"/>
    </xf>
    <xf numFmtId="172" fontId="61" fillId="34" borderId="53" xfId="52" applyNumberFormat="1" applyFont="1" applyFill="1" applyBorder="1" applyAlignment="1" applyProtection="1">
      <alignment horizontal="center" vertical="center"/>
    </xf>
    <xf numFmtId="4" fontId="61" fillId="34" borderId="69" xfId="52" applyNumberFormat="1" applyFont="1" applyFill="1" applyBorder="1" applyAlignment="1" applyProtection="1">
      <alignment horizontal="center" vertical="center"/>
    </xf>
    <xf numFmtId="4" fontId="61" fillId="34" borderId="63" xfId="52" applyNumberFormat="1" applyFont="1" applyFill="1" applyBorder="1" applyAlignment="1" applyProtection="1">
      <alignment horizontal="center" vertical="center"/>
    </xf>
    <xf numFmtId="4" fontId="61" fillId="34" borderId="55" xfId="52" applyNumberFormat="1" applyFont="1" applyFill="1" applyBorder="1" applyAlignment="1" applyProtection="1">
      <alignment horizontal="center" vertical="center"/>
    </xf>
    <xf numFmtId="3" fontId="61" fillId="29" borderId="72" xfId="52" applyNumberFormat="1" applyFont="1" applyFill="1" applyBorder="1" applyAlignment="1" applyProtection="1">
      <alignment horizontal="center" vertical="center"/>
    </xf>
    <xf numFmtId="3" fontId="61" fillId="29" borderId="73" xfId="52" applyNumberFormat="1" applyFont="1" applyFill="1" applyBorder="1" applyAlignment="1" applyProtection="1">
      <alignment horizontal="center" vertical="center"/>
    </xf>
    <xf numFmtId="3" fontId="61" fillId="29" borderId="76" xfId="52" applyNumberFormat="1" applyFont="1" applyFill="1" applyBorder="1" applyAlignment="1" applyProtection="1">
      <alignment horizontal="center" vertical="center"/>
    </xf>
    <xf numFmtId="172" fontId="61" fillId="29" borderId="32" xfId="52" applyNumberFormat="1" applyFont="1" applyFill="1" applyBorder="1" applyAlignment="1" applyProtection="1">
      <alignment horizontal="center" vertical="center"/>
    </xf>
    <xf numFmtId="172" fontId="61" fillId="29" borderId="7" xfId="52" applyNumberFormat="1" applyFont="1" applyFill="1" applyBorder="1" applyAlignment="1" applyProtection="1">
      <alignment horizontal="center" vertical="center"/>
    </xf>
    <xf numFmtId="172" fontId="61" fillId="29" borderId="53" xfId="52" applyNumberFormat="1" applyFont="1" applyFill="1" applyBorder="1" applyAlignment="1" applyProtection="1">
      <alignment horizontal="center" vertical="center"/>
    </xf>
    <xf numFmtId="4" fontId="61" fillId="34" borderId="32" xfId="52" applyNumberFormat="1" applyFont="1" applyFill="1" applyBorder="1" applyAlignment="1" applyProtection="1">
      <alignment horizontal="center" vertical="center"/>
    </xf>
    <xf numFmtId="4" fontId="61" fillId="34" borderId="7" xfId="52" applyNumberFormat="1" applyFont="1" applyFill="1" applyBorder="1" applyAlignment="1" applyProtection="1">
      <alignment horizontal="center" vertical="center"/>
    </xf>
    <xf numFmtId="4" fontId="61" fillId="34" borderId="53" xfId="52" applyNumberFormat="1" applyFont="1" applyFill="1" applyBorder="1" applyAlignment="1" applyProtection="1">
      <alignment horizontal="center" vertical="center"/>
    </xf>
    <xf numFmtId="3" fontId="109" fillId="34" borderId="79" xfId="52" applyNumberFormat="1" applyFont="1" applyFill="1" applyBorder="1" applyAlignment="1" applyProtection="1">
      <alignment horizontal="center" vertical="center"/>
    </xf>
    <xf numFmtId="3" fontId="109" fillId="34" borderId="77" xfId="52" applyNumberFormat="1" applyFont="1" applyFill="1" applyBorder="1" applyAlignment="1" applyProtection="1">
      <alignment horizontal="center" vertical="center"/>
    </xf>
    <xf numFmtId="3" fontId="109" fillId="34" borderId="57" xfId="52" applyNumberFormat="1" applyFont="1" applyFill="1" applyBorder="1" applyAlignment="1" applyProtection="1">
      <alignment horizontal="center" vertical="center"/>
    </xf>
    <xf numFmtId="1" fontId="84" fillId="25" borderId="8" xfId="52" applyNumberFormat="1" applyFont="1" applyFill="1" applyBorder="1" applyAlignment="1">
      <alignment horizontal="center" vertical="center"/>
    </xf>
    <xf numFmtId="1" fontId="84" fillId="25" borderId="3" xfId="52" applyNumberFormat="1" applyFont="1" applyFill="1" applyBorder="1" applyAlignment="1">
      <alignment horizontal="center" vertical="center"/>
    </xf>
    <xf numFmtId="3" fontId="61" fillId="30" borderId="32" xfId="52" applyNumberFormat="1" applyFont="1" applyFill="1" applyBorder="1" applyAlignment="1">
      <alignment horizontal="center" vertical="center"/>
    </xf>
    <xf numFmtId="3" fontId="61" fillId="30" borderId="7" xfId="52" applyNumberFormat="1" applyFont="1" applyFill="1" applyBorder="1" applyAlignment="1">
      <alignment horizontal="center" vertical="center"/>
    </xf>
    <xf numFmtId="3" fontId="61" fillId="30" borderId="53" xfId="52" applyNumberFormat="1" applyFont="1" applyFill="1" applyBorder="1" applyAlignment="1">
      <alignment horizontal="center" vertical="center"/>
    </xf>
    <xf numFmtId="3" fontId="34" fillId="32" borderId="52" xfId="49" applyNumberFormat="1" applyFont="1" applyFill="1" applyBorder="1" applyAlignment="1" applyProtection="1">
      <alignment horizontal="center" vertical="center"/>
      <protection locked="0"/>
    </xf>
    <xf numFmtId="3" fontId="34" fillId="32" borderId="7" xfId="49" applyNumberFormat="1" applyFont="1" applyFill="1" applyBorder="1" applyAlignment="1" applyProtection="1">
      <alignment horizontal="center" vertical="center"/>
      <protection locked="0"/>
    </xf>
    <xf numFmtId="3" fontId="34" fillId="32" borderId="53" xfId="49" applyNumberFormat="1" applyFont="1" applyFill="1" applyBorder="1" applyAlignment="1" applyProtection="1">
      <alignment horizontal="center" vertical="center"/>
      <protection locked="0"/>
    </xf>
    <xf numFmtId="3" fontId="34" fillId="32" borderId="77" xfId="49" applyNumberFormat="1" applyFont="1" applyFill="1" applyBorder="1" applyAlignment="1" applyProtection="1">
      <alignment horizontal="center" vertical="center"/>
      <protection locked="0"/>
    </xf>
    <xf numFmtId="3" fontId="34" fillId="32" borderId="57" xfId="49" applyNumberFormat="1" applyFont="1" applyFill="1" applyBorder="1" applyAlignment="1" applyProtection="1">
      <alignment horizontal="center" vertical="center"/>
      <protection locked="0"/>
    </xf>
    <xf numFmtId="3" fontId="52" fillId="25" borderId="8" xfId="52" applyNumberFormat="1" applyFont="1" applyFill="1" applyBorder="1" applyAlignment="1">
      <alignment horizontal="center" vertical="center"/>
    </xf>
    <xf numFmtId="3" fontId="52" fillId="25" borderId="3" xfId="52" applyNumberFormat="1" applyFont="1" applyFill="1" applyBorder="1" applyAlignment="1">
      <alignment horizontal="center" vertical="center"/>
    </xf>
    <xf numFmtId="9" fontId="34" fillId="3" borderId="24" xfId="32" applyNumberFormat="1" applyFont="1" applyFill="1" applyBorder="1" applyAlignment="1" applyProtection="1">
      <alignment horizontal="center" vertical="center"/>
      <protection locked="0"/>
    </xf>
    <xf numFmtId="9" fontId="34" fillId="3" borderId="17" xfId="32" applyNumberFormat="1" applyFont="1" applyFill="1" applyBorder="1" applyAlignment="1" applyProtection="1">
      <alignment horizontal="center" vertical="center"/>
      <protection locked="0"/>
    </xf>
    <xf numFmtId="3" fontId="34" fillId="31" borderId="24" xfId="32" applyNumberFormat="1" applyFont="1" applyFill="1" applyBorder="1" applyAlignment="1" applyProtection="1">
      <alignment horizontal="center" vertical="center"/>
      <protection locked="0"/>
    </xf>
    <xf numFmtId="14" fontId="34" fillId="30" borderId="0" xfId="32" applyNumberFormat="1" applyFont="1" applyFill="1" applyBorder="1" applyAlignment="1">
      <alignment wrapText="1"/>
    </xf>
    <xf numFmtId="0" fontId="13" fillId="30" borderId="0" xfId="32" applyFont="1" applyFill="1" applyBorder="1" applyAlignment="1"/>
    <xf numFmtId="0" fontId="36" fillId="30" borderId="0" xfId="32" applyFont="1" applyFill="1" applyBorder="1" applyAlignment="1">
      <alignment horizontal="center" wrapText="1"/>
    </xf>
    <xf numFmtId="0" fontId="36" fillId="29" borderId="0" xfId="0" applyFont="1" applyFill="1" applyAlignment="1">
      <alignment horizontal="center"/>
    </xf>
    <xf numFmtId="0" fontId="13" fillId="29" borderId="0" xfId="0" applyFont="1" applyFill="1"/>
    <xf numFmtId="9" fontId="13" fillId="24" borderId="50" xfId="0" applyNumberFormat="1" applyFont="1" applyFill="1" applyBorder="1" applyAlignment="1">
      <alignment horizontal="center" vertical="center"/>
    </xf>
    <xf numFmtId="9" fontId="13" fillId="24" borderId="53" xfId="0" applyNumberFormat="1" applyFont="1" applyFill="1" applyBorder="1" applyAlignment="1">
      <alignment horizontal="center" vertical="center"/>
    </xf>
    <xf numFmtId="0" fontId="13" fillId="24" borderId="53" xfId="0" applyFont="1" applyFill="1" applyBorder="1" applyAlignment="1">
      <alignment horizontal="center" vertical="center"/>
    </xf>
    <xf numFmtId="10" fontId="13" fillId="24" borderId="53" xfId="0" applyNumberFormat="1" applyFont="1" applyFill="1" applyBorder="1" applyAlignment="1">
      <alignment horizontal="center" vertical="center"/>
    </xf>
    <xf numFmtId="0" fontId="13" fillId="24" borderId="57" xfId="0" applyFont="1" applyFill="1" applyBorder="1" applyAlignment="1">
      <alignment horizontal="center" vertical="center"/>
    </xf>
    <xf numFmtId="0" fontId="7" fillId="30" borderId="0" xfId="49" applyFont="1" applyFill="1" applyAlignment="1">
      <alignment wrapText="1"/>
    </xf>
    <xf numFmtId="0" fontId="12" fillId="30" borderId="0" xfId="49" applyFont="1" applyFill="1" applyBorder="1" applyAlignment="1">
      <alignment vertical="center"/>
    </xf>
    <xf numFmtId="0" fontId="7" fillId="30" borderId="0" xfId="49" applyFont="1" applyFill="1" applyAlignment="1" applyProtection="1">
      <alignment wrapText="1"/>
    </xf>
    <xf numFmtId="0" fontId="12" fillId="30" borderId="0" xfId="49" applyFont="1" applyFill="1" applyBorder="1" applyAlignment="1"/>
    <xf numFmtId="0" fontId="13" fillId="35" borderId="1" xfId="49" applyFont="1" applyFill="1" applyBorder="1" applyAlignment="1">
      <alignment vertical="center" wrapText="1"/>
    </xf>
    <xf numFmtId="0" fontId="13" fillId="35" borderId="8" xfId="49" applyFont="1" applyFill="1" applyBorder="1" applyAlignment="1">
      <alignment vertical="center" wrapText="1"/>
    </xf>
    <xf numFmtId="0" fontId="13" fillId="35" borderId="3" xfId="49" applyFont="1" applyFill="1" applyBorder="1" applyAlignment="1">
      <alignment vertical="center" wrapText="1"/>
    </xf>
    <xf numFmtId="1" fontId="13" fillId="42" borderId="60" xfId="21" applyFont="1" applyFill="1" applyBorder="1">
      <alignment horizontal="center" vertical="center" wrapText="1"/>
    </xf>
    <xf numFmtId="3" fontId="13" fillId="30" borderId="74" xfId="49" applyNumberFormat="1" applyFont="1" applyFill="1" applyBorder="1" applyAlignment="1">
      <alignment horizontal="center" vertical="center" wrapText="1"/>
    </xf>
    <xf numFmtId="3" fontId="13" fillId="30" borderId="62" xfId="49" applyNumberFormat="1" applyFont="1" applyFill="1" applyBorder="1" applyAlignment="1">
      <alignment horizontal="center" vertical="center"/>
    </xf>
    <xf numFmtId="3" fontId="4" fillId="36" borderId="62" xfId="49" applyNumberFormat="1" applyFont="1" applyFill="1" applyBorder="1" applyAlignment="1">
      <alignment horizontal="center" vertical="center"/>
    </xf>
    <xf numFmtId="3" fontId="13" fillId="21" borderId="62" xfId="49" applyNumberFormat="1" applyFont="1" applyFill="1" applyBorder="1" applyAlignment="1">
      <alignment horizontal="center" vertical="center"/>
    </xf>
    <xf numFmtId="3" fontId="13" fillId="34" borderId="60" xfId="49" applyNumberFormat="1" applyFont="1" applyFill="1" applyBorder="1" applyAlignment="1">
      <alignment horizontal="center" wrapText="1"/>
    </xf>
    <xf numFmtId="3" fontId="13" fillId="36" borderId="62" xfId="49" applyNumberFormat="1" applyFont="1" applyFill="1" applyBorder="1" applyAlignment="1">
      <alignment horizontal="center" vertical="center"/>
    </xf>
    <xf numFmtId="3" fontId="13" fillId="30" borderId="62" xfId="49" applyNumberFormat="1" applyFont="1" applyFill="1" applyBorder="1" applyAlignment="1">
      <alignment horizontal="center" vertical="center" wrapText="1"/>
    </xf>
    <xf numFmtId="3" fontId="13" fillId="30" borderId="78" xfId="49" applyNumberFormat="1" applyFont="1" applyFill="1" applyBorder="1" applyAlignment="1">
      <alignment horizontal="center" vertical="center" wrapText="1"/>
    </xf>
    <xf numFmtId="3" fontId="33" fillId="34" borderId="1" xfId="49" applyNumberFormat="1" applyFont="1" applyFill="1" applyBorder="1" applyAlignment="1">
      <alignment horizontal="center" wrapText="1"/>
    </xf>
    <xf numFmtId="170" fontId="33" fillId="40" borderId="43" xfId="49" applyNumberFormat="1" applyFont="1" applyFill="1" applyBorder="1" applyAlignment="1" applyProtection="1">
      <alignment horizontal="center" wrapText="1"/>
    </xf>
    <xf numFmtId="167" fontId="33" fillId="26" borderId="3" xfId="49" applyNumberFormat="1" applyFont="1" applyFill="1" applyBorder="1" applyAlignment="1" applyProtection="1">
      <alignment horizontal="center" vertical="center" wrapText="1"/>
    </xf>
    <xf numFmtId="0" fontId="34" fillId="0" borderId="53" xfId="31" applyFont="1" applyFill="1" applyBorder="1" applyAlignment="1" applyProtection="1">
      <alignment vertical="center" wrapText="1"/>
    </xf>
    <xf numFmtId="0" fontId="33" fillId="0" borderId="1" xfId="31" applyFont="1" applyFill="1" applyBorder="1" applyAlignment="1" applyProtection="1">
      <alignment horizontal="center" vertical="center" wrapText="1"/>
    </xf>
    <xf numFmtId="0" fontId="33" fillId="0" borderId="3" xfId="31" applyFont="1" applyFill="1" applyBorder="1" applyAlignment="1" applyProtection="1">
      <alignment horizontal="center" vertical="center" wrapText="1"/>
    </xf>
    <xf numFmtId="173" fontId="33" fillId="40" borderId="56" xfId="31" applyNumberFormat="1" applyFont="1" applyFill="1" applyBorder="1" applyAlignment="1">
      <alignment horizontal="center" vertical="center"/>
    </xf>
    <xf numFmtId="173" fontId="33" fillId="40" borderId="77" xfId="31" applyNumberFormat="1" applyFont="1" applyFill="1" applyBorder="1" applyAlignment="1">
      <alignment horizontal="center" vertical="center"/>
    </xf>
    <xf numFmtId="173" fontId="33" fillId="40" borderId="57" xfId="31" applyNumberFormat="1" applyFont="1" applyFill="1" applyBorder="1" applyAlignment="1">
      <alignment horizontal="center" vertical="center"/>
    </xf>
    <xf numFmtId="173" fontId="33" fillId="40" borderId="79" xfId="31" applyNumberFormat="1" applyFont="1" applyFill="1" applyBorder="1" applyAlignment="1">
      <alignment horizontal="center" vertical="center"/>
    </xf>
    <xf numFmtId="173" fontId="33" fillId="40" borderId="69" xfId="31" applyNumberFormat="1" applyFont="1" applyFill="1" applyBorder="1" applyAlignment="1">
      <alignment horizontal="center" vertical="center"/>
    </xf>
    <xf numFmtId="173" fontId="33" fillId="40" borderId="63" xfId="31" applyNumberFormat="1" applyFont="1" applyFill="1" applyBorder="1" applyAlignment="1">
      <alignment horizontal="center" vertical="center"/>
    </xf>
    <xf numFmtId="173" fontId="33" fillId="40" borderId="55" xfId="31" applyNumberFormat="1" applyFont="1" applyFill="1" applyBorder="1" applyAlignment="1">
      <alignment horizontal="center" vertical="center"/>
    </xf>
    <xf numFmtId="3" fontId="34" fillId="30" borderId="72" xfId="49" applyNumberFormat="1" applyFont="1" applyFill="1" applyBorder="1" applyAlignment="1">
      <alignment horizontal="center" vertical="center" wrapText="1"/>
    </xf>
    <xf numFmtId="3" fontId="34" fillId="30" borderId="51" xfId="49" applyNumberFormat="1" applyFont="1" applyFill="1" applyBorder="1" applyAlignment="1">
      <alignment horizontal="center" vertical="center" wrapText="1"/>
    </xf>
    <xf numFmtId="3" fontId="34" fillId="30" borderId="17" xfId="49" applyNumberFormat="1" applyFont="1" applyFill="1" applyBorder="1" applyAlignment="1">
      <alignment horizontal="center" vertical="center" wrapText="1"/>
    </xf>
    <xf numFmtId="3" fontId="33" fillId="30" borderId="5" xfId="49" applyNumberFormat="1" applyFont="1" applyFill="1" applyBorder="1" applyAlignment="1">
      <alignment horizontal="center" vertical="center" wrapText="1"/>
    </xf>
    <xf numFmtId="3" fontId="34" fillId="30" borderId="21" xfId="49" applyNumberFormat="1" applyFont="1" applyFill="1" applyBorder="1" applyAlignment="1">
      <alignment horizontal="center" vertical="center" wrapText="1"/>
    </xf>
    <xf numFmtId="3" fontId="34" fillId="30" borderId="74" xfId="49" applyNumberFormat="1" applyFont="1" applyFill="1" applyBorder="1" applyAlignment="1">
      <alignment horizontal="center" vertical="center" wrapText="1"/>
    </xf>
    <xf numFmtId="3" fontId="33" fillId="30" borderId="61" xfId="49" applyNumberFormat="1" applyFont="1" applyFill="1" applyBorder="1" applyAlignment="1">
      <alignment horizontal="center" vertical="center" wrapText="1"/>
    </xf>
    <xf numFmtId="3" fontId="33" fillId="0" borderId="29" xfId="49" applyNumberFormat="1" applyFont="1" applyFill="1" applyBorder="1" applyAlignment="1">
      <alignment horizontal="center" vertical="center" wrapText="1"/>
    </xf>
    <xf numFmtId="3" fontId="33" fillId="30" borderId="24" xfId="49" applyNumberFormat="1" applyFont="1" applyFill="1" applyBorder="1" applyAlignment="1">
      <alignment horizontal="center" vertical="center"/>
    </xf>
    <xf numFmtId="3" fontId="34" fillId="36" borderId="24" xfId="49" applyNumberFormat="1" applyFont="1" applyFill="1" applyBorder="1" applyAlignment="1">
      <alignment horizontal="center" vertical="center"/>
    </xf>
    <xf numFmtId="3" fontId="33" fillId="21" borderId="24" xfId="49" applyNumberFormat="1" applyFont="1" applyFill="1" applyBorder="1" applyAlignment="1">
      <alignment horizontal="center" vertical="center"/>
    </xf>
    <xf numFmtId="170" fontId="33" fillId="40" borderId="30" xfId="49" applyNumberFormat="1" applyFont="1" applyFill="1" applyBorder="1" applyAlignment="1" applyProtection="1">
      <alignment horizontal="center" wrapText="1"/>
    </xf>
    <xf numFmtId="168" fontId="33" fillId="26" borderId="1" xfId="49" applyNumberFormat="1" applyFont="1" applyFill="1" applyBorder="1" applyAlignment="1" applyProtection="1">
      <alignment horizontal="center" vertical="center" wrapText="1"/>
    </xf>
    <xf numFmtId="168" fontId="34" fillId="36" borderId="25" xfId="49" applyNumberFormat="1" applyFont="1" applyFill="1" applyBorder="1" applyAlignment="1" applyProtection="1">
      <alignment horizontal="center" vertical="center" wrapText="1"/>
    </xf>
    <xf numFmtId="167" fontId="33" fillId="26" borderId="122" xfId="49" applyNumberFormat="1" applyFont="1" applyFill="1" applyBorder="1" applyAlignment="1" applyProtection="1">
      <alignment horizontal="center" vertical="center" wrapText="1"/>
    </xf>
    <xf numFmtId="168" fontId="33" fillId="0" borderId="1" xfId="49" applyNumberFormat="1" applyFont="1" applyFill="1" applyBorder="1" applyAlignment="1" applyProtection="1">
      <alignment horizontal="center" vertical="center" wrapText="1"/>
    </xf>
    <xf numFmtId="168" fontId="33" fillId="0" borderId="1" xfId="31" applyNumberFormat="1" applyFont="1" applyFill="1" applyBorder="1" applyAlignment="1" applyProtection="1">
      <alignment horizontal="center" vertical="center" wrapText="1"/>
    </xf>
    <xf numFmtId="168" fontId="34" fillId="36" borderId="72" xfId="49" applyNumberFormat="1" applyFont="1" applyFill="1" applyBorder="1" applyAlignment="1" applyProtection="1">
      <alignment horizontal="center" vertical="center" wrapText="1"/>
    </xf>
    <xf numFmtId="167" fontId="33" fillId="26" borderId="65" xfId="49" applyNumberFormat="1" applyFont="1" applyFill="1" applyBorder="1" applyAlignment="1" applyProtection="1">
      <alignment horizontal="center" vertical="center" wrapText="1"/>
    </xf>
    <xf numFmtId="168" fontId="33" fillId="0" borderId="65" xfId="31" applyNumberFormat="1" applyFont="1" applyFill="1" applyBorder="1" applyAlignment="1" applyProtection="1">
      <alignment horizontal="center" vertical="center" wrapText="1"/>
    </xf>
    <xf numFmtId="170" fontId="33" fillId="40" borderId="2" xfId="49" applyNumberFormat="1" applyFont="1" applyFill="1" applyBorder="1" applyAlignment="1" applyProtection="1">
      <alignment horizontal="center" wrapText="1"/>
    </xf>
    <xf numFmtId="167" fontId="33" fillId="26" borderId="8" xfId="49" applyNumberFormat="1" applyFont="1" applyFill="1" applyBorder="1" applyAlignment="1" applyProtection="1">
      <alignment horizontal="center" vertical="center" wrapText="1"/>
    </xf>
    <xf numFmtId="170" fontId="33" fillId="40" borderId="42" xfId="49" applyNumberFormat="1" applyFont="1" applyFill="1" applyBorder="1" applyAlignment="1" applyProtection="1">
      <alignment horizontal="center" wrapText="1"/>
    </xf>
    <xf numFmtId="168" fontId="33" fillId="26" borderId="123" xfId="49" applyNumberFormat="1" applyFont="1" applyFill="1" applyBorder="1" applyAlignment="1" applyProtection="1">
      <alignment horizontal="center" vertical="center" wrapText="1"/>
    </xf>
    <xf numFmtId="168" fontId="33" fillId="26" borderId="85" xfId="49" applyNumberFormat="1" applyFont="1" applyFill="1" applyBorder="1" applyAlignment="1" applyProtection="1">
      <alignment horizontal="center" vertical="center" wrapText="1"/>
    </xf>
    <xf numFmtId="174" fontId="106" fillId="40" borderId="57" xfId="49" applyNumberFormat="1" applyFont="1" applyFill="1" applyBorder="1" applyAlignment="1" applyProtection="1">
      <alignment horizontal="center" wrapText="1"/>
    </xf>
    <xf numFmtId="170" fontId="33" fillId="40" borderId="51" xfId="49" applyNumberFormat="1" applyFont="1" applyFill="1" applyBorder="1" applyAlignment="1" applyProtection="1">
      <alignment horizontal="center" wrapText="1"/>
    </xf>
    <xf numFmtId="170" fontId="34" fillId="40" borderId="21" xfId="49" applyNumberFormat="1" applyFont="1" applyFill="1" applyBorder="1" applyAlignment="1" applyProtection="1">
      <alignment horizontal="center" wrapText="1"/>
    </xf>
    <xf numFmtId="170" fontId="33" fillId="40" borderId="22" xfId="49" applyNumberFormat="1" applyFont="1" applyFill="1" applyBorder="1" applyAlignment="1" applyProtection="1">
      <alignment horizontal="center"/>
    </xf>
    <xf numFmtId="170" fontId="34" fillId="40" borderId="28" xfId="49" applyNumberFormat="1" applyFont="1" applyFill="1" applyBorder="1" applyAlignment="1" applyProtection="1">
      <alignment horizontal="center" wrapText="1"/>
    </xf>
    <xf numFmtId="170" fontId="114" fillId="40" borderId="56" xfId="49" applyNumberFormat="1" applyFont="1" applyFill="1" applyBorder="1" applyAlignment="1" applyProtection="1">
      <alignment horizontal="center" wrapText="1"/>
    </xf>
    <xf numFmtId="168" fontId="123" fillId="29" borderId="3" xfId="49" applyNumberFormat="1" applyFont="1" applyFill="1" applyBorder="1" applyAlignment="1" applyProtection="1">
      <alignment horizontal="center" vertical="center" wrapText="1"/>
      <protection locked="0"/>
    </xf>
    <xf numFmtId="2" fontId="33" fillId="40" borderId="51" xfId="49" applyNumberFormat="1" applyFont="1" applyFill="1" applyBorder="1" applyAlignment="1" applyProtection="1">
      <alignment horizontal="center" vertical="center" wrapText="1"/>
    </xf>
    <xf numFmtId="170" fontId="34" fillId="40" borderId="39" xfId="49" applyNumberFormat="1" applyFont="1" applyFill="1" applyBorder="1" applyAlignment="1" applyProtection="1">
      <alignment horizontal="center" wrapText="1"/>
    </xf>
    <xf numFmtId="168" fontId="123" fillId="29" borderId="2" xfId="49" applyNumberFormat="1" applyFont="1" applyFill="1" applyBorder="1" applyAlignment="1" applyProtection="1">
      <alignment horizontal="center" vertical="center" wrapText="1"/>
      <protection locked="0"/>
    </xf>
    <xf numFmtId="3" fontId="34" fillId="32" borderId="5" xfId="49" applyNumberFormat="1" applyFont="1" applyFill="1" applyBorder="1" applyAlignment="1" applyProtection="1">
      <alignment horizontal="right"/>
      <protection locked="0"/>
    </xf>
    <xf numFmtId="3" fontId="34" fillId="32" borderId="17" xfId="49" applyNumberFormat="1" applyFont="1" applyFill="1" applyBorder="1" applyAlignment="1" applyProtection="1">
      <alignment horizontal="right"/>
      <protection locked="0"/>
    </xf>
    <xf numFmtId="3" fontId="34" fillId="32" borderId="21" xfId="49" applyNumberFormat="1" applyFont="1" applyFill="1" applyBorder="1" applyAlignment="1" applyProtection="1">
      <alignment horizontal="right"/>
      <protection locked="0"/>
    </xf>
    <xf numFmtId="168" fontId="123" fillId="29" borderId="1" xfId="49" applyNumberFormat="1" applyFont="1" applyFill="1" applyBorder="1" applyAlignment="1" applyProtection="1">
      <alignment horizontal="center" vertical="center" wrapText="1"/>
      <protection locked="0"/>
    </xf>
    <xf numFmtId="3" fontId="33" fillId="33" borderId="53" xfId="32" applyNumberFormat="1" applyFont="1" applyFill="1" applyBorder="1" applyAlignment="1">
      <alignment horizontal="center"/>
    </xf>
    <xf numFmtId="3" fontId="33" fillId="34" borderId="53" xfId="32" applyNumberFormat="1" applyFont="1" applyFill="1" applyBorder="1" applyAlignment="1">
      <alignment horizontal="center"/>
    </xf>
    <xf numFmtId="3" fontId="34" fillId="0" borderId="53" xfId="32" applyNumberFormat="1" applyFont="1" applyFill="1" applyBorder="1" applyAlignment="1">
      <alignment horizontal="center"/>
    </xf>
    <xf numFmtId="3" fontId="33" fillId="37" borderId="53" xfId="32" applyNumberFormat="1" applyFont="1" applyFill="1" applyBorder="1" applyAlignment="1">
      <alignment horizontal="center"/>
    </xf>
    <xf numFmtId="3" fontId="33" fillId="37" borderId="77" xfId="32" applyNumberFormat="1" applyFont="1" applyFill="1" applyBorder="1" applyAlignment="1">
      <alignment horizontal="center"/>
    </xf>
    <xf numFmtId="3" fontId="33" fillId="37" borderId="57" xfId="32" applyNumberFormat="1" applyFont="1" applyFill="1" applyBorder="1" applyAlignment="1">
      <alignment horizontal="center"/>
    </xf>
    <xf numFmtId="3" fontId="33" fillId="33" borderId="32" xfId="32" applyNumberFormat="1" applyFont="1" applyFill="1" applyBorder="1" applyAlignment="1">
      <alignment horizontal="center"/>
    </xf>
    <xf numFmtId="3" fontId="33" fillId="34" borderId="32" xfId="32" applyNumberFormat="1" applyFont="1" applyFill="1" applyBorder="1" applyAlignment="1">
      <alignment horizontal="center"/>
    </xf>
    <xf numFmtId="3" fontId="34" fillId="0" borderId="32" xfId="32" applyNumberFormat="1" applyFont="1" applyFill="1" applyBorder="1" applyAlignment="1">
      <alignment horizontal="center"/>
    </xf>
    <xf numFmtId="3" fontId="33" fillId="37" borderId="32" xfId="32" applyNumberFormat="1" applyFont="1" applyFill="1" applyBorder="1" applyAlignment="1">
      <alignment horizontal="center"/>
    </xf>
    <xf numFmtId="3" fontId="33" fillId="37" borderId="79" xfId="32" applyNumberFormat="1" applyFont="1" applyFill="1" applyBorder="1" applyAlignment="1">
      <alignment horizontal="center"/>
    </xf>
    <xf numFmtId="0" fontId="33" fillId="34" borderId="24" xfId="32" applyFont="1" applyFill="1" applyBorder="1" applyAlignment="1"/>
    <xf numFmtId="0" fontId="34" fillId="30" borderId="24" xfId="47" applyFont="1" applyFill="1" applyBorder="1" applyAlignment="1" applyProtection="1">
      <alignment horizontal="left" vertical="center" wrapText="1"/>
      <protection hidden="1"/>
    </xf>
    <xf numFmtId="0" fontId="34" fillId="21" borderId="24" xfId="47" applyFont="1" applyFill="1" applyBorder="1" applyAlignment="1" applyProtection="1">
      <alignment horizontal="left" vertical="center" wrapText="1"/>
      <protection hidden="1"/>
    </xf>
    <xf numFmtId="0" fontId="122" fillId="30" borderId="24" xfId="47" applyFont="1" applyFill="1" applyBorder="1" applyAlignment="1" applyProtection="1">
      <alignment horizontal="left" vertical="center" wrapText="1"/>
      <protection hidden="1"/>
    </xf>
    <xf numFmtId="0" fontId="34" fillId="29" borderId="24" xfId="47" applyFont="1" applyFill="1" applyBorder="1" applyAlignment="1" applyProtection="1">
      <alignment horizontal="left" vertical="center" wrapText="1"/>
      <protection hidden="1"/>
    </xf>
    <xf numFmtId="0" fontId="34" fillId="29" borderId="24" xfId="32" applyFont="1" applyFill="1" applyBorder="1"/>
    <xf numFmtId="0" fontId="33" fillId="34" borderId="24" xfId="47" applyFont="1" applyFill="1" applyBorder="1" applyAlignment="1" applyProtection="1">
      <alignment horizontal="left" vertical="center" wrapText="1"/>
      <protection hidden="1"/>
    </xf>
    <xf numFmtId="0" fontId="33" fillId="33" borderId="24" xfId="32" applyFont="1" applyFill="1" applyBorder="1"/>
    <xf numFmtId="0" fontId="33" fillId="34" borderId="24" xfId="47" applyFont="1" applyFill="1" applyBorder="1" applyAlignment="1" applyProtection="1">
      <alignment horizontal="left" vertical="top" wrapText="1"/>
      <protection hidden="1"/>
    </xf>
    <xf numFmtId="0" fontId="34" fillId="30" borderId="24" xfId="32" applyFont="1" applyFill="1" applyBorder="1"/>
    <xf numFmtId="0" fontId="33" fillId="37" borderId="24" xfId="47" applyFont="1" applyFill="1" applyBorder="1" applyAlignment="1" applyProtection="1">
      <alignment horizontal="left" vertical="center" wrapText="1"/>
      <protection hidden="1"/>
    </xf>
    <xf numFmtId="0" fontId="33" fillId="30" borderId="24" xfId="32" applyFont="1" applyFill="1" applyBorder="1"/>
    <xf numFmtId="0" fontId="33" fillId="30" borderId="24" xfId="47" applyFont="1" applyFill="1" applyBorder="1" applyAlignment="1" applyProtection="1">
      <alignment horizontal="left" vertical="center" wrapText="1"/>
      <protection hidden="1"/>
    </xf>
    <xf numFmtId="0" fontId="33" fillId="37" borderId="30" xfId="47" applyFont="1" applyFill="1" applyBorder="1" applyAlignment="1" applyProtection="1">
      <alignment horizontal="left" vertical="center" wrapText="1"/>
      <protection hidden="1"/>
    </xf>
    <xf numFmtId="3" fontId="33" fillId="33" borderId="15" xfId="32" applyNumberFormat="1" applyFont="1" applyFill="1" applyBorder="1" applyAlignment="1">
      <alignment horizontal="center"/>
    </xf>
    <xf numFmtId="3" fontId="33" fillId="34" borderId="15" xfId="32" applyNumberFormat="1" applyFont="1" applyFill="1" applyBorder="1" applyAlignment="1">
      <alignment horizontal="center"/>
    </xf>
    <xf numFmtId="3" fontId="34" fillId="30" borderId="15" xfId="32" applyNumberFormat="1" applyFont="1" applyFill="1" applyBorder="1" applyAlignment="1">
      <alignment horizontal="center"/>
    </xf>
    <xf numFmtId="3" fontId="34" fillId="0" borderId="15" xfId="32" applyNumberFormat="1" applyFont="1" applyFill="1" applyBorder="1" applyAlignment="1">
      <alignment horizontal="center"/>
    </xf>
    <xf numFmtId="3" fontId="33" fillId="37" borderId="15" xfId="32" applyNumberFormat="1" applyFont="1" applyFill="1" applyBorder="1" applyAlignment="1">
      <alignment horizontal="center"/>
    </xf>
    <xf numFmtId="3" fontId="33" fillId="37" borderId="19" xfId="32" applyNumberFormat="1" applyFont="1" applyFill="1" applyBorder="1" applyAlignment="1">
      <alignment horizontal="center"/>
    </xf>
    <xf numFmtId="3" fontId="33" fillId="33" borderId="17" xfId="32" applyNumberFormat="1" applyFont="1" applyFill="1" applyBorder="1" applyAlignment="1">
      <alignment horizontal="center"/>
    </xf>
    <xf numFmtId="3" fontId="33" fillId="34" borderId="17" xfId="32" applyNumberFormat="1" applyFont="1" applyFill="1" applyBorder="1" applyAlignment="1">
      <alignment horizontal="center"/>
    </xf>
    <xf numFmtId="3" fontId="34" fillId="30" borderId="17" xfId="32" applyNumberFormat="1" applyFont="1" applyFill="1" applyBorder="1" applyAlignment="1">
      <alignment horizontal="center"/>
    </xf>
    <xf numFmtId="3" fontId="34" fillId="0" borderId="17" xfId="32" applyNumberFormat="1" applyFont="1" applyFill="1" applyBorder="1" applyAlignment="1">
      <alignment horizontal="center"/>
    </xf>
    <xf numFmtId="3" fontId="33" fillId="37" borderId="17" xfId="32" applyNumberFormat="1" applyFont="1" applyFill="1" applyBorder="1" applyAlignment="1">
      <alignment horizontal="center"/>
    </xf>
    <xf numFmtId="3" fontId="33" fillId="37" borderId="21" xfId="32" applyNumberFormat="1" applyFont="1" applyFill="1" applyBorder="1" applyAlignment="1">
      <alignment horizontal="center"/>
    </xf>
    <xf numFmtId="0" fontId="33" fillId="33" borderId="25" xfId="32" applyFont="1" applyFill="1" applyBorder="1" applyAlignment="1"/>
    <xf numFmtId="3" fontId="33" fillId="33" borderId="5" xfId="32" applyNumberFormat="1" applyFont="1" applyFill="1" applyBorder="1" applyAlignment="1">
      <alignment horizontal="center"/>
    </xf>
    <xf numFmtId="3" fontId="33" fillId="33" borderId="6" xfId="32" applyNumberFormat="1" applyFont="1" applyFill="1" applyBorder="1" applyAlignment="1">
      <alignment horizontal="center"/>
    </xf>
    <xf numFmtId="3" fontId="33" fillId="33" borderId="44" xfId="32" applyNumberFormat="1" applyFont="1" applyFill="1" applyBorder="1" applyAlignment="1">
      <alignment horizontal="center"/>
    </xf>
    <xf numFmtId="3" fontId="33" fillId="33" borderId="31" xfId="32" applyNumberFormat="1" applyFont="1" applyFill="1" applyBorder="1" applyAlignment="1">
      <alignment horizontal="center"/>
    </xf>
    <xf numFmtId="3" fontId="33" fillId="33" borderId="50" xfId="32" applyNumberFormat="1" applyFont="1" applyFill="1" applyBorder="1" applyAlignment="1">
      <alignment horizontal="center"/>
    </xf>
    <xf numFmtId="0" fontId="33" fillId="40" borderId="1" xfId="32" applyFont="1" applyFill="1" applyBorder="1" applyAlignment="1">
      <alignment vertical="center" wrapText="1"/>
    </xf>
    <xf numFmtId="170" fontId="33" fillId="40" borderId="2" xfId="32" applyNumberFormat="1" applyFont="1" applyFill="1" applyBorder="1" applyAlignment="1" applyProtection="1">
      <alignment horizontal="center" wrapText="1"/>
    </xf>
    <xf numFmtId="170" fontId="33" fillId="40" borderId="3" xfId="32" applyNumberFormat="1" applyFont="1" applyFill="1" applyBorder="1" applyAlignment="1" applyProtection="1">
      <alignment horizontal="center" wrapText="1"/>
    </xf>
    <xf numFmtId="170" fontId="33" fillId="40" borderId="65" xfId="32" applyNumberFormat="1" applyFont="1" applyFill="1" applyBorder="1" applyAlignment="1" applyProtection="1">
      <alignment horizontal="center" wrapText="1"/>
    </xf>
    <xf numFmtId="170" fontId="33" fillId="40" borderId="9" xfId="32" applyNumberFormat="1" applyFont="1" applyFill="1" applyBorder="1" applyAlignment="1" applyProtection="1">
      <alignment horizontal="center" wrapText="1"/>
    </xf>
    <xf numFmtId="170" fontId="33" fillId="40" borderId="10" xfId="32" applyNumberFormat="1" applyFont="1" applyFill="1" applyBorder="1" applyAlignment="1" applyProtection="1">
      <alignment horizontal="center" wrapText="1"/>
    </xf>
    <xf numFmtId="3" fontId="33" fillId="38" borderId="53" xfId="32" applyNumberFormat="1" applyFont="1" applyFill="1" applyBorder="1" applyAlignment="1">
      <alignment horizontal="center"/>
    </xf>
    <xf numFmtId="3" fontId="33" fillId="38" borderId="77" xfId="32" applyNumberFormat="1" applyFont="1" applyFill="1" applyBorder="1" applyAlignment="1">
      <alignment horizontal="center"/>
    </xf>
    <xf numFmtId="3" fontId="33" fillId="38" borderId="57" xfId="32" applyNumberFormat="1" applyFont="1" applyFill="1" applyBorder="1" applyAlignment="1">
      <alignment horizontal="center"/>
    </xf>
    <xf numFmtId="3" fontId="33" fillId="38" borderId="32" xfId="32" applyNumberFormat="1" applyFont="1" applyFill="1" applyBorder="1" applyAlignment="1">
      <alignment horizontal="center"/>
    </xf>
    <xf numFmtId="3" fontId="33" fillId="38" borderId="79" xfId="32" applyNumberFormat="1" applyFont="1" applyFill="1" applyBorder="1" applyAlignment="1">
      <alignment horizontal="center"/>
    </xf>
    <xf numFmtId="0" fontId="33" fillId="33" borderId="24" xfId="47" applyFont="1" applyFill="1" applyBorder="1" applyAlignment="1" applyProtection="1">
      <alignment horizontal="left" vertical="center" wrapText="1"/>
      <protection hidden="1"/>
    </xf>
    <xf numFmtId="0" fontId="33" fillId="38" borderId="24" xfId="47" applyFont="1" applyFill="1" applyBorder="1" applyAlignment="1" applyProtection="1">
      <alignment horizontal="left" vertical="center" wrapText="1"/>
      <protection hidden="1"/>
    </xf>
    <xf numFmtId="0" fontId="33" fillId="38" borderId="30" xfId="47" applyFont="1" applyFill="1" applyBorder="1" applyAlignment="1" applyProtection="1">
      <alignment horizontal="left" vertical="center" wrapText="1"/>
      <protection hidden="1"/>
    </xf>
    <xf numFmtId="3" fontId="33" fillId="38" borderId="15" xfId="32" applyNumberFormat="1" applyFont="1" applyFill="1" applyBorder="1" applyAlignment="1">
      <alignment horizontal="center"/>
    </xf>
    <xf numFmtId="3" fontId="33" fillId="38" borderId="19" xfId="32" applyNumberFormat="1" applyFont="1" applyFill="1" applyBorder="1" applyAlignment="1">
      <alignment horizontal="center"/>
    </xf>
    <xf numFmtId="3" fontId="33" fillId="38" borderId="21" xfId="32" applyNumberFormat="1" applyFont="1" applyFill="1" applyBorder="1" applyAlignment="1">
      <alignment horizontal="center"/>
    </xf>
    <xf numFmtId="1" fontId="13" fillId="27" borderId="2" xfId="21" applyFont="1" applyFill="1" applyBorder="1" applyAlignment="1">
      <alignment horizontal="center" vertical="center" wrapText="1"/>
    </xf>
    <xf numFmtId="3" fontId="38" fillId="0" borderId="31" xfId="0" applyNumberFormat="1" applyFont="1" applyBorder="1" applyAlignment="1">
      <alignment horizontal="center" vertical="center"/>
    </xf>
    <xf numFmtId="3" fontId="38" fillId="0" borderId="50" xfId="0" applyNumberFormat="1" applyFont="1" applyBorder="1" applyAlignment="1">
      <alignment horizontal="center" vertical="center"/>
    </xf>
    <xf numFmtId="170" fontId="40" fillId="40" borderId="77" xfId="0" applyNumberFormat="1" applyFont="1" applyFill="1" applyBorder="1" applyAlignment="1" applyProtection="1">
      <alignment horizontal="center" wrapText="1"/>
    </xf>
    <xf numFmtId="170" fontId="40" fillId="40" borderId="57" xfId="0" applyNumberFormat="1" applyFont="1" applyFill="1" applyBorder="1" applyAlignment="1" applyProtection="1">
      <alignment horizontal="center" wrapText="1"/>
    </xf>
    <xf numFmtId="170" fontId="40" fillId="40" borderId="56" xfId="0" applyNumberFormat="1" applyFont="1" applyFill="1" applyBorder="1" applyAlignment="1" applyProtection="1">
      <alignment horizontal="center" wrapText="1"/>
    </xf>
    <xf numFmtId="0" fontId="34" fillId="0" borderId="29" xfId="0" applyFont="1" applyBorder="1" applyAlignment="1">
      <alignment horizontal="center"/>
    </xf>
    <xf numFmtId="0" fontId="34" fillId="0" borderId="24" xfId="0" applyFont="1" applyBorder="1" applyAlignment="1">
      <alignment horizontal="center"/>
    </xf>
    <xf numFmtId="0" fontId="34" fillId="0" borderId="30" xfId="0" applyFont="1" applyBorder="1" applyAlignment="1">
      <alignment horizontal="center"/>
    </xf>
    <xf numFmtId="3" fontId="38" fillId="32" borderId="75" xfId="49" applyNumberFormat="1" applyFont="1" applyFill="1" applyBorder="1" applyAlignment="1" applyProtection="1">
      <alignment horizontal="center"/>
      <protection locked="0"/>
    </xf>
    <xf numFmtId="3" fontId="38" fillId="32" borderId="73" xfId="49" applyNumberFormat="1" applyFont="1" applyFill="1" applyBorder="1" applyAlignment="1" applyProtection="1">
      <alignment horizontal="center"/>
      <protection locked="0"/>
    </xf>
    <xf numFmtId="0" fontId="38" fillId="0" borderId="53" xfId="0" applyFont="1" applyBorder="1" applyAlignment="1">
      <alignment horizontal="left" vertical="center" wrapText="1"/>
    </xf>
    <xf numFmtId="3" fontId="38" fillId="32" borderId="52" xfId="49" applyNumberFormat="1" applyFont="1" applyFill="1" applyBorder="1" applyAlignment="1" applyProtection="1">
      <alignment horizontal="center" vertical="center"/>
      <protection locked="0"/>
    </xf>
    <xf numFmtId="3" fontId="38" fillId="32" borderId="7" xfId="49" applyNumberFormat="1" applyFont="1" applyFill="1" applyBorder="1" applyAlignment="1" applyProtection="1">
      <alignment horizontal="center" vertical="center"/>
      <protection locked="0"/>
    </xf>
    <xf numFmtId="3" fontId="38" fillId="32" borderId="53" xfId="49" applyNumberFormat="1" applyFont="1" applyFill="1" applyBorder="1" applyAlignment="1" applyProtection="1">
      <alignment horizontal="center" vertical="center"/>
      <protection locked="0"/>
    </xf>
    <xf numFmtId="0" fontId="0" fillId="0" borderId="0" xfId="0" applyAlignment="1">
      <alignment vertical="center"/>
    </xf>
    <xf numFmtId="170" fontId="33" fillId="40" borderId="77" xfId="0" applyNumberFormat="1" applyFont="1" applyFill="1" applyBorder="1" applyAlignment="1" applyProtection="1">
      <alignment horizontal="center" wrapText="1"/>
    </xf>
    <xf numFmtId="170" fontId="33" fillId="40" borderId="57" xfId="0" applyNumberFormat="1" applyFont="1" applyFill="1" applyBorder="1" applyAlignment="1" applyProtection="1">
      <alignment horizontal="center" wrapText="1"/>
    </xf>
    <xf numFmtId="0" fontId="40" fillId="0" borderId="49" xfId="0" applyFont="1" applyFill="1" applyBorder="1" applyAlignment="1" applyProtection="1">
      <alignment horizontal="center" vertical="center" wrapText="1"/>
    </xf>
    <xf numFmtId="0" fontId="40" fillId="0" borderId="31" xfId="0" applyFont="1" applyFill="1" applyBorder="1" applyAlignment="1" applyProtection="1">
      <alignment horizontal="left" vertical="center" wrapText="1"/>
    </xf>
    <xf numFmtId="0" fontId="40" fillId="0" borderId="31" xfId="0" applyFont="1" applyFill="1" applyBorder="1" applyAlignment="1" applyProtection="1">
      <alignment horizontal="center" vertical="center" wrapText="1"/>
    </xf>
    <xf numFmtId="0" fontId="40" fillId="40" borderId="38" xfId="0" applyFont="1" applyFill="1" applyBorder="1" applyAlignment="1" applyProtection="1">
      <alignment horizontal="center" vertical="center" wrapText="1"/>
    </xf>
    <xf numFmtId="0" fontId="40" fillId="40" borderId="9" xfId="0" applyFont="1" applyFill="1" applyBorder="1" applyAlignment="1" applyProtection="1">
      <alignment horizontal="center" vertical="center" wrapText="1"/>
    </xf>
    <xf numFmtId="0" fontId="40" fillId="40" borderId="9" xfId="40" applyFont="1" applyFill="1" applyBorder="1" applyAlignment="1" applyProtection="1">
      <alignment horizontal="center" vertical="center"/>
    </xf>
    <xf numFmtId="170" fontId="40" fillId="40" borderId="9" xfId="0" applyNumberFormat="1" applyFont="1" applyFill="1" applyBorder="1" applyAlignment="1" applyProtection="1">
      <alignment horizontal="center" wrapText="1"/>
    </xf>
    <xf numFmtId="170" fontId="40" fillId="40" borderId="10" xfId="0" applyNumberFormat="1" applyFont="1" applyFill="1" applyBorder="1" applyAlignment="1" applyProtection="1">
      <alignment horizontal="center" wrapText="1"/>
    </xf>
    <xf numFmtId="0" fontId="38" fillId="0" borderId="62" xfId="0" applyFont="1" applyBorder="1" applyAlignment="1" applyProtection="1">
      <alignment horizontal="center" vertical="center" wrapText="1"/>
    </xf>
    <xf numFmtId="170" fontId="33" fillId="40" borderId="56" xfId="0" applyNumberFormat="1" applyFont="1" applyFill="1" applyBorder="1" applyAlignment="1" applyProtection="1">
      <alignment horizontal="center" wrapText="1"/>
    </xf>
    <xf numFmtId="171" fontId="33" fillId="28" borderId="71" xfId="0" applyNumberFormat="1" applyFont="1" applyFill="1" applyBorder="1" applyAlignment="1">
      <alignment vertical="center"/>
    </xf>
    <xf numFmtId="171" fontId="33" fillId="28" borderId="48" xfId="0" applyNumberFormat="1" applyFont="1" applyFill="1" applyBorder="1" applyAlignment="1">
      <alignment vertical="center"/>
    </xf>
    <xf numFmtId="2" fontId="34" fillId="2" borderId="1" xfId="0" applyNumberFormat="1" applyFont="1" applyFill="1" applyBorder="1"/>
    <xf numFmtId="2" fontId="34" fillId="2" borderId="8" xfId="0" applyNumberFormat="1" applyFont="1" applyFill="1" applyBorder="1"/>
    <xf numFmtId="2" fontId="34" fillId="2" borderId="3" xfId="0" applyNumberFormat="1" applyFont="1" applyFill="1" applyBorder="1"/>
    <xf numFmtId="0" fontId="34" fillId="2" borderId="75" xfId="0" applyFont="1" applyFill="1" applyBorder="1"/>
    <xf numFmtId="0" fontId="34" fillId="2" borderId="73" xfId="0" applyFont="1" applyFill="1" applyBorder="1"/>
    <xf numFmtId="0" fontId="34" fillId="2" borderId="76" xfId="0" applyFont="1" applyFill="1" applyBorder="1"/>
    <xf numFmtId="0" fontId="34" fillId="2" borderId="52" xfId="0" applyFont="1" applyFill="1" applyBorder="1"/>
    <xf numFmtId="0" fontId="34" fillId="2" borderId="7" xfId="0" applyFont="1" applyFill="1" applyBorder="1"/>
    <xf numFmtId="0" fontId="34" fillId="2" borderId="53" xfId="0" applyFont="1" applyFill="1" applyBorder="1"/>
    <xf numFmtId="0" fontId="34" fillId="2" borderId="56" xfId="0" applyFont="1" applyFill="1" applyBorder="1"/>
    <xf numFmtId="0" fontId="34" fillId="2" borderId="77" xfId="0" applyFont="1" applyFill="1" applyBorder="1"/>
    <xf numFmtId="0" fontId="34" fillId="2" borderId="57" xfId="0" applyFont="1" applyFill="1" applyBorder="1"/>
    <xf numFmtId="0" fontId="13" fillId="35" borderId="2" xfId="49" applyFont="1" applyFill="1" applyBorder="1" applyAlignment="1">
      <alignment vertical="center" wrapText="1"/>
    </xf>
    <xf numFmtId="3" fontId="33" fillId="40" borderId="65" xfId="32" applyNumberFormat="1" applyFont="1" applyFill="1" applyBorder="1" applyAlignment="1">
      <alignment horizontal="center" vertical="center"/>
    </xf>
    <xf numFmtId="3" fontId="39" fillId="40" borderId="10" xfId="32" applyNumberFormat="1" applyFont="1" applyFill="1" applyBorder="1" applyAlignment="1">
      <alignment horizontal="center" vertical="center"/>
    </xf>
    <xf numFmtId="1" fontId="39" fillId="40" borderId="65" xfId="32" applyNumberFormat="1" applyFont="1" applyFill="1" applyBorder="1" applyAlignment="1">
      <alignment horizontal="center" vertical="center" wrapText="1"/>
    </xf>
    <xf numFmtId="1" fontId="33" fillId="40" borderId="47" xfId="32" applyNumberFormat="1" applyFont="1" applyFill="1" applyBorder="1" applyAlignment="1">
      <alignment horizontal="center" vertical="center"/>
    </xf>
    <xf numFmtId="1" fontId="33" fillId="40" borderId="71" xfId="32" applyNumberFormat="1" applyFont="1" applyFill="1" applyBorder="1" applyAlignment="1">
      <alignment horizontal="center" vertical="center"/>
    </xf>
    <xf numFmtId="1" fontId="33" fillId="40" borderId="48" xfId="32" applyNumberFormat="1" applyFont="1" applyFill="1" applyBorder="1" applyAlignment="1">
      <alignment vertical="center"/>
    </xf>
    <xf numFmtId="3" fontId="34" fillId="32" borderId="73" xfId="49" applyNumberFormat="1" applyFont="1" applyFill="1" applyBorder="1" applyAlignment="1" applyProtection="1">
      <alignment horizontal="center"/>
      <protection locked="0"/>
    </xf>
    <xf numFmtId="0" fontId="7" fillId="30" borderId="0" xfId="32" applyFont="1" applyFill="1" applyAlignment="1">
      <alignment wrapText="1"/>
    </xf>
    <xf numFmtId="0" fontId="12" fillId="30" borderId="0" xfId="32" applyFont="1" applyFill="1" applyBorder="1" applyAlignment="1">
      <alignment vertical="center"/>
    </xf>
    <xf numFmtId="0" fontId="45" fillId="29" borderId="0" xfId="32" applyFont="1" applyFill="1" applyAlignment="1">
      <alignment vertical="center"/>
    </xf>
    <xf numFmtId="3" fontId="34" fillId="44" borderId="40" xfId="49" applyNumberFormat="1" applyFont="1" applyFill="1" applyBorder="1" applyAlignment="1" applyProtection="1">
      <alignment horizontal="right"/>
      <protection locked="0"/>
    </xf>
    <xf numFmtId="3" fontId="34" fillId="44" borderId="11" xfId="49" applyNumberFormat="1" applyFont="1" applyFill="1" applyBorder="1" applyAlignment="1" applyProtection="1">
      <alignment horizontal="right"/>
      <protection locked="0"/>
    </xf>
    <xf numFmtId="3" fontId="34" fillId="44" borderId="41" xfId="49" applyNumberFormat="1" applyFont="1" applyFill="1" applyBorder="1" applyAlignment="1" applyProtection="1">
      <alignment horizontal="right"/>
      <protection locked="0"/>
    </xf>
    <xf numFmtId="3" fontId="34" fillId="44" borderId="27" xfId="49" applyNumberFormat="1" applyFont="1" applyFill="1" applyBorder="1" applyAlignment="1" applyProtection="1">
      <alignment horizontal="right"/>
      <protection locked="0"/>
    </xf>
    <xf numFmtId="3" fontId="34" fillId="44" borderId="0" xfId="49" applyNumberFormat="1" applyFont="1" applyFill="1" applyBorder="1" applyAlignment="1" applyProtection="1">
      <alignment horizontal="right"/>
      <protection locked="0"/>
    </xf>
    <xf numFmtId="3" fontId="34" fillId="44" borderId="16" xfId="49" applyNumberFormat="1" applyFont="1" applyFill="1" applyBorder="1" applyAlignment="1" applyProtection="1">
      <alignment horizontal="right"/>
      <protection locked="0"/>
    </xf>
    <xf numFmtId="3" fontId="34" fillId="44" borderId="42" xfId="49" applyNumberFormat="1" applyFont="1" applyFill="1" applyBorder="1" applyAlignment="1" applyProtection="1">
      <alignment horizontal="right"/>
      <protection locked="0"/>
    </xf>
    <xf numFmtId="3" fontId="34" fillId="44" borderId="20" xfId="49" applyNumberFormat="1" applyFont="1" applyFill="1" applyBorder="1" applyAlignment="1" applyProtection="1">
      <alignment horizontal="right"/>
      <protection locked="0"/>
    </xf>
    <xf numFmtId="3" fontId="34" fillId="44" borderId="43" xfId="49" applyNumberFormat="1" applyFont="1" applyFill="1" applyBorder="1" applyAlignment="1" applyProtection="1">
      <alignment horizontal="right"/>
      <protection locked="0"/>
    </xf>
    <xf numFmtId="0" fontId="13" fillId="30" borderId="0" xfId="0" applyFont="1" applyFill="1" applyAlignment="1">
      <alignment horizontal="left" indent="1"/>
    </xf>
    <xf numFmtId="0" fontId="36" fillId="30" borderId="0" xfId="0" applyFont="1" applyFill="1" applyAlignment="1">
      <alignment horizontal="left" indent="1"/>
    </xf>
    <xf numFmtId="0" fontId="106" fillId="29" borderId="60" xfId="31" applyFont="1" applyFill="1" applyBorder="1" applyAlignment="1">
      <alignment wrapText="1"/>
    </xf>
    <xf numFmtId="173" fontId="106" fillId="29" borderId="45" xfId="37" applyNumberFormat="1" applyFont="1" applyFill="1" applyBorder="1" applyAlignment="1" applyProtection="1">
      <alignment horizontal="right" vertical="center" wrapText="1"/>
    </xf>
    <xf numFmtId="173" fontId="106" fillId="29" borderId="58" xfId="37" applyNumberFormat="1" applyFont="1" applyFill="1" applyBorder="1" applyAlignment="1" applyProtection="1">
      <alignment horizontal="right" vertical="center" wrapText="1"/>
    </xf>
    <xf numFmtId="173" fontId="106" fillId="29" borderId="46" xfId="37" applyNumberFormat="1" applyFont="1" applyFill="1" applyBorder="1" applyAlignment="1" applyProtection="1">
      <alignment horizontal="right" vertical="center" wrapText="1"/>
    </xf>
    <xf numFmtId="173" fontId="106" fillId="29" borderId="80" xfId="37" applyNumberFormat="1" applyFont="1" applyFill="1" applyBorder="1" applyAlignment="1" applyProtection="1">
      <alignment horizontal="right" vertical="center" wrapText="1"/>
    </xf>
    <xf numFmtId="173" fontId="106" fillId="29" borderId="59" xfId="37" applyNumberFormat="1" applyFont="1" applyFill="1" applyBorder="1" applyAlignment="1" applyProtection="1">
      <alignment horizontal="right" vertical="center" wrapText="1"/>
    </xf>
    <xf numFmtId="0" fontId="106" fillId="29" borderId="110" xfId="31" applyFont="1" applyFill="1" applyBorder="1" applyAlignment="1">
      <alignment wrapText="1"/>
    </xf>
    <xf numFmtId="173" fontId="106" fillId="29" borderId="38" xfId="37" applyNumberFormat="1" applyFont="1" applyFill="1" applyBorder="1" applyAlignment="1" applyProtection="1">
      <alignment horizontal="right" vertical="center" wrapText="1"/>
    </xf>
    <xf numFmtId="173" fontId="106" fillId="29" borderId="9" xfId="37" applyNumberFormat="1" applyFont="1" applyFill="1" applyBorder="1" applyAlignment="1" applyProtection="1">
      <alignment horizontal="right" vertical="center" wrapText="1"/>
    </xf>
    <xf numFmtId="173" fontId="106" fillId="29" borderId="60" xfId="37" applyNumberFormat="1" applyFont="1" applyFill="1" applyBorder="1" applyAlignment="1" applyProtection="1">
      <alignment horizontal="right" vertical="center" wrapText="1"/>
    </xf>
    <xf numFmtId="173" fontId="106" fillId="29" borderId="10" xfId="37" applyNumberFormat="1" applyFont="1" applyFill="1" applyBorder="1" applyAlignment="1" applyProtection="1">
      <alignment horizontal="right" vertical="center" wrapText="1"/>
    </xf>
    <xf numFmtId="173" fontId="106" fillId="29" borderId="65" xfId="37" applyNumberFormat="1" applyFont="1" applyFill="1" applyBorder="1" applyAlignment="1" applyProtection="1">
      <alignment horizontal="right" vertical="center" wrapText="1"/>
    </xf>
    <xf numFmtId="173" fontId="107" fillId="29" borderId="9" xfId="37" applyNumberFormat="1" applyFont="1" applyFill="1" applyBorder="1" applyAlignment="1" applyProtection="1">
      <alignment horizontal="left" vertical="center" wrapText="1"/>
    </xf>
    <xf numFmtId="173" fontId="106" fillId="29" borderId="9" xfId="37" applyNumberFormat="1" applyFont="1" applyFill="1" applyBorder="1" applyAlignment="1" applyProtection="1">
      <alignment horizontal="center" vertical="center" wrapText="1"/>
    </xf>
    <xf numFmtId="10" fontId="34" fillId="29" borderId="24" xfId="1" applyNumberFormat="1" applyFont="1" applyFill="1" applyBorder="1" applyAlignment="1">
      <alignment horizontal="right" vertical="center" wrapText="1"/>
    </xf>
    <xf numFmtId="10" fontId="34" fillId="29" borderId="7" xfId="1" applyNumberFormat="1" applyFont="1" applyFill="1" applyBorder="1" applyAlignment="1">
      <alignment horizontal="right" vertical="center" wrapText="1"/>
    </xf>
    <xf numFmtId="3" fontId="34" fillId="30" borderId="24" xfId="32" applyNumberFormat="1" applyFont="1" applyFill="1" applyBorder="1" applyAlignment="1">
      <alignment horizontal="left" vertical="center" wrapText="1"/>
    </xf>
    <xf numFmtId="3" fontId="34" fillId="0" borderId="24" xfId="32" applyNumberFormat="1" applyFont="1" applyFill="1" applyBorder="1" applyAlignment="1">
      <alignment horizontal="left" vertical="center" wrapText="1"/>
    </xf>
    <xf numFmtId="3" fontId="33" fillId="30" borderId="23" xfId="32" applyNumberFormat="1" applyFont="1" applyFill="1" applyBorder="1" applyAlignment="1">
      <alignment horizontal="center" vertical="center"/>
    </xf>
    <xf numFmtId="3" fontId="80" fillId="29" borderId="53" xfId="32" applyNumberFormat="1" applyFont="1" applyFill="1" applyBorder="1" applyAlignment="1">
      <alignment horizontal="center" vertical="center"/>
    </xf>
    <xf numFmtId="3" fontId="35" fillId="29" borderId="52" xfId="32" applyNumberFormat="1" applyFont="1" applyFill="1" applyBorder="1" applyAlignment="1">
      <alignment horizontal="center" vertical="center"/>
    </xf>
    <xf numFmtId="3" fontId="35" fillId="29" borderId="62" xfId="32" applyNumberFormat="1" applyFont="1" applyFill="1" applyBorder="1" applyAlignment="1">
      <alignment horizontal="center" vertical="center"/>
    </xf>
    <xf numFmtId="3" fontId="35" fillId="29" borderId="7" xfId="32" applyNumberFormat="1" applyFont="1" applyFill="1" applyBorder="1" applyAlignment="1">
      <alignment horizontal="center" vertical="center"/>
    </xf>
    <xf numFmtId="3" fontId="35" fillId="29" borderId="53" xfId="32" applyNumberFormat="1" applyFont="1" applyFill="1" applyBorder="1" applyAlignment="1">
      <alignment horizontal="center" vertical="center"/>
    </xf>
    <xf numFmtId="3" fontId="4" fillId="3" borderId="56" xfId="32" applyNumberFormat="1" applyFont="1" applyFill="1" applyBorder="1" applyAlignment="1" applyProtection="1">
      <alignment horizontal="center" vertical="center"/>
      <protection locked="0"/>
    </xf>
    <xf numFmtId="3" fontId="4" fillId="3" borderId="57" xfId="32" applyNumberFormat="1" applyFont="1" applyFill="1" applyBorder="1" applyAlignment="1" applyProtection="1">
      <alignment horizontal="center" vertical="center"/>
      <protection locked="0"/>
    </xf>
    <xf numFmtId="3" fontId="4" fillId="3" borderId="24" xfId="32" applyNumberFormat="1" applyFont="1" applyFill="1" applyBorder="1" applyAlignment="1" applyProtection="1">
      <alignment horizontal="center" vertical="center"/>
      <protection locked="0"/>
    </xf>
    <xf numFmtId="3" fontId="4" fillId="3" borderId="30" xfId="32" applyNumberFormat="1" applyFont="1" applyFill="1" applyBorder="1" applyAlignment="1" applyProtection="1">
      <alignment horizontal="center" vertical="center"/>
      <protection locked="0"/>
    </xf>
    <xf numFmtId="3" fontId="4" fillId="3" borderId="51" xfId="32" applyNumberFormat="1" applyFont="1" applyFill="1" applyBorder="1" applyAlignment="1" applyProtection="1">
      <alignment horizontal="center" vertical="center"/>
      <protection locked="0"/>
    </xf>
    <xf numFmtId="3" fontId="4" fillId="3" borderId="17" xfId="32" applyNumberFormat="1" applyFont="1" applyFill="1" applyBorder="1" applyAlignment="1" applyProtection="1">
      <alignment horizontal="center" vertical="center"/>
      <protection locked="0"/>
    </xf>
    <xf numFmtId="3" fontId="4" fillId="3" borderId="21" xfId="32" applyNumberFormat="1" applyFont="1" applyFill="1" applyBorder="1" applyAlignment="1" applyProtection="1">
      <alignment horizontal="center" vertical="center"/>
      <protection locked="0"/>
    </xf>
    <xf numFmtId="3" fontId="4" fillId="3" borderId="79" xfId="32" applyNumberFormat="1" applyFont="1" applyFill="1" applyBorder="1" applyAlignment="1" applyProtection="1">
      <alignment horizontal="center" vertical="center"/>
      <protection locked="0"/>
    </xf>
    <xf numFmtId="3" fontId="4" fillId="3" borderId="77" xfId="32" applyNumberFormat="1" applyFont="1" applyFill="1" applyBorder="1" applyAlignment="1" applyProtection="1">
      <alignment horizontal="center" vertical="center"/>
      <protection locked="0"/>
    </xf>
    <xf numFmtId="3" fontId="39" fillId="29" borderId="52" xfId="32" applyNumberFormat="1" applyFont="1" applyFill="1" applyBorder="1" applyAlignment="1">
      <alignment horizontal="center" vertical="center"/>
    </xf>
    <xf numFmtId="3" fontId="39" fillId="29" borderId="53" xfId="32" applyNumberFormat="1" applyFont="1" applyFill="1" applyBorder="1" applyAlignment="1">
      <alignment horizontal="center" vertical="center"/>
    </xf>
    <xf numFmtId="3" fontId="33" fillId="29" borderId="32" xfId="32" applyNumberFormat="1" applyFont="1" applyFill="1" applyBorder="1" applyAlignment="1">
      <alignment horizontal="center" vertical="center"/>
    </xf>
    <xf numFmtId="3" fontId="33" fillId="29" borderId="7" xfId="32" applyNumberFormat="1" applyFont="1" applyFill="1" applyBorder="1" applyAlignment="1">
      <alignment horizontal="center" vertical="center"/>
    </xf>
    <xf numFmtId="3" fontId="33" fillId="29" borderId="53" xfId="32" applyNumberFormat="1" applyFont="1" applyFill="1" applyBorder="1" applyAlignment="1">
      <alignment horizontal="center" vertical="center"/>
    </xf>
    <xf numFmtId="3" fontId="33" fillId="29" borderId="62" xfId="32" applyNumberFormat="1" applyFont="1" applyFill="1" applyBorder="1" applyAlignment="1">
      <alignment horizontal="center" vertical="center"/>
    </xf>
    <xf numFmtId="0" fontId="34" fillId="24" borderId="39" xfId="32" applyFont="1" applyFill="1" applyBorder="1" applyAlignment="1">
      <alignment horizontal="center" vertical="center"/>
    </xf>
    <xf numFmtId="0" fontId="34" fillId="30" borderId="39" xfId="32" applyFont="1" applyFill="1" applyBorder="1" applyAlignment="1">
      <alignment horizontal="center" vertical="center"/>
    </xf>
    <xf numFmtId="9" fontId="34" fillId="30" borderId="39" xfId="1" applyFont="1" applyFill="1" applyBorder="1" applyAlignment="1">
      <alignment horizontal="center" vertical="center"/>
    </xf>
    <xf numFmtId="3" fontId="34" fillId="30" borderId="39" xfId="32" applyNumberFormat="1" applyFont="1" applyFill="1" applyBorder="1" applyAlignment="1">
      <alignment horizontal="left" vertical="center" wrapText="1"/>
    </xf>
    <xf numFmtId="3" fontId="35" fillId="0" borderId="54" xfId="32" applyNumberFormat="1" applyFont="1" applyFill="1" applyBorder="1" applyAlignment="1">
      <alignment horizontal="center" vertical="center"/>
    </xf>
    <xf numFmtId="3" fontId="35" fillId="0" borderId="55" xfId="32" applyNumberFormat="1" applyFont="1" applyFill="1" applyBorder="1" applyAlignment="1">
      <alignment horizontal="center" vertical="center"/>
    </xf>
    <xf numFmtId="3" fontId="34" fillId="0" borderId="69" xfId="32" applyNumberFormat="1" applyFont="1" applyFill="1" applyBorder="1" applyAlignment="1">
      <alignment horizontal="center" vertical="center"/>
    </xf>
    <xf numFmtId="3" fontId="34" fillId="0" borderId="63" xfId="32" applyNumberFormat="1" applyFont="1" applyFill="1" applyBorder="1" applyAlignment="1">
      <alignment horizontal="center" vertical="center"/>
    </xf>
    <xf numFmtId="3" fontId="34" fillId="0" borderId="64" xfId="32" applyNumberFormat="1" applyFont="1" applyFill="1" applyBorder="1" applyAlignment="1">
      <alignment horizontal="center" vertical="center"/>
    </xf>
    <xf numFmtId="3" fontId="80" fillId="3" borderId="55" xfId="32" applyNumberFormat="1" applyFont="1" applyFill="1" applyBorder="1" applyAlignment="1">
      <alignment horizontal="center" vertical="center"/>
    </xf>
    <xf numFmtId="0" fontId="33" fillId="34" borderId="51" xfId="32" applyFont="1" applyFill="1" applyBorder="1" applyAlignment="1">
      <alignment horizontal="center" vertical="center"/>
    </xf>
    <xf numFmtId="0" fontId="33" fillId="34" borderId="51" xfId="32" applyFont="1" applyFill="1" applyBorder="1" applyAlignment="1">
      <alignment horizontal="left" vertical="center"/>
    </xf>
    <xf numFmtId="0" fontId="33" fillId="34" borderId="51" xfId="32" applyFont="1" applyFill="1" applyBorder="1" applyAlignment="1">
      <alignment vertical="center" wrapText="1"/>
    </xf>
    <xf numFmtId="3" fontId="75" fillId="34" borderId="14" xfId="32" applyNumberFormat="1" applyFont="1" applyFill="1" applyBorder="1" applyAlignment="1">
      <alignment horizontal="center" vertical="center"/>
    </xf>
    <xf numFmtId="0" fontId="33" fillId="29" borderId="34" xfId="32" applyFont="1" applyFill="1" applyBorder="1" applyAlignment="1">
      <alignment horizontal="center" vertical="center"/>
    </xf>
    <xf numFmtId="0" fontId="33" fillId="29" borderId="34" xfId="32" applyFont="1" applyFill="1" applyBorder="1" applyAlignment="1">
      <alignment horizontal="left" vertical="center"/>
    </xf>
    <xf numFmtId="0" fontId="33" fillId="29" borderId="34" xfId="32" applyFont="1" applyFill="1" applyBorder="1" applyAlignment="1">
      <alignment vertical="center" wrapText="1"/>
    </xf>
    <xf numFmtId="3" fontId="39" fillId="29" borderId="56" xfId="32" applyNumberFormat="1" applyFont="1" applyFill="1" applyBorder="1" applyAlignment="1">
      <alignment horizontal="center" vertical="center"/>
    </xf>
    <xf numFmtId="3" fontId="39" fillId="29" borderId="57" xfId="32" applyNumberFormat="1" applyFont="1" applyFill="1" applyBorder="1" applyAlignment="1">
      <alignment horizontal="center" vertical="center"/>
    </xf>
    <xf numFmtId="3" fontId="33" fillId="29" borderId="70" xfId="32" applyNumberFormat="1" applyFont="1" applyFill="1" applyBorder="1" applyAlignment="1">
      <alignment horizontal="center" vertical="center"/>
    </xf>
    <xf numFmtId="3" fontId="33" fillId="29" borderId="71" xfId="32" applyNumberFormat="1" applyFont="1" applyFill="1" applyBorder="1" applyAlignment="1">
      <alignment horizontal="center" vertical="center"/>
    </xf>
    <xf numFmtId="3" fontId="33" fillId="29" borderId="48" xfId="32" applyNumberFormat="1" applyFont="1" applyFill="1" applyBorder="1" applyAlignment="1">
      <alignment horizontal="center" vertical="center"/>
    </xf>
    <xf numFmtId="3" fontId="33" fillId="29" borderId="110" xfId="32" applyNumberFormat="1" applyFont="1" applyFill="1" applyBorder="1" applyAlignment="1">
      <alignment horizontal="center" vertical="center"/>
    </xf>
    <xf numFmtId="3" fontId="39" fillId="29" borderId="47" xfId="32" applyNumberFormat="1" applyFont="1" applyFill="1" applyBorder="1" applyAlignment="1">
      <alignment horizontal="center" vertical="center"/>
    </xf>
    <xf numFmtId="3" fontId="39" fillId="29" borderId="48" xfId="32" applyNumberFormat="1" applyFont="1" applyFill="1" applyBorder="1" applyAlignment="1">
      <alignment horizontal="center" vertical="center"/>
    </xf>
    <xf numFmtId="3" fontId="60" fillId="29" borderId="43" xfId="32" applyNumberFormat="1" applyFont="1" applyFill="1" applyBorder="1" applyAlignment="1">
      <alignment horizontal="center" vertical="center"/>
    </xf>
    <xf numFmtId="3" fontId="4" fillId="3" borderId="15" xfId="32" applyNumberFormat="1" applyFont="1" applyFill="1" applyBorder="1" applyAlignment="1" applyProtection="1">
      <alignment horizontal="center" vertical="center"/>
      <protection locked="0"/>
    </xf>
    <xf numFmtId="0" fontId="33" fillId="30" borderId="5" xfId="32" applyFont="1" applyFill="1" applyBorder="1" applyAlignment="1">
      <alignment horizontal="center" vertical="center"/>
    </xf>
    <xf numFmtId="0" fontId="34" fillId="0" borderId="5" xfId="0" applyFont="1" applyFill="1" applyBorder="1" applyAlignment="1">
      <alignment horizontal="center" vertical="center"/>
    </xf>
    <xf numFmtId="9" fontId="34" fillId="30" borderId="5" xfId="1" applyFont="1" applyFill="1" applyBorder="1" applyAlignment="1">
      <alignment horizontal="center" vertical="center"/>
    </xf>
    <xf numFmtId="3" fontId="34" fillId="30" borderId="25" xfId="32" applyNumberFormat="1" applyFont="1" applyFill="1" applyBorder="1" applyAlignment="1">
      <alignment horizontal="left" vertical="center" wrapText="1"/>
    </xf>
    <xf numFmtId="3" fontId="4" fillId="3" borderId="49" xfId="32" applyNumberFormat="1" applyFont="1" applyFill="1" applyBorder="1" applyAlignment="1" applyProtection="1">
      <alignment horizontal="center" vertical="center"/>
      <protection locked="0"/>
    </xf>
    <xf numFmtId="3" fontId="4" fillId="3" borderId="50" xfId="32" applyNumberFormat="1" applyFont="1" applyFill="1" applyBorder="1" applyAlignment="1" applyProtection="1">
      <alignment horizontal="center" vertical="center"/>
      <protection locked="0"/>
    </xf>
    <xf numFmtId="3" fontId="4" fillId="3" borderId="44" xfId="32" applyNumberFormat="1" applyFont="1" applyFill="1" applyBorder="1" applyAlignment="1" applyProtection="1">
      <alignment horizontal="center" vertical="center"/>
      <protection locked="0"/>
    </xf>
    <xf numFmtId="3" fontId="4" fillId="3" borderId="31" xfId="32" applyNumberFormat="1" applyFont="1" applyFill="1" applyBorder="1" applyAlignment="1" applyProtection="1">
      <alignment horizontal="center" vertical="center"/>
      <protection locked="0"/>
    </xf>
    <xf numFmtId="3" fontId="33" fillId="30" borderId="33" xfId="32" applyNumberFormat="1" applyFont="1" applyFill="1" applyBorder="1" applyAlignment="1">
      <alignment horizontal="center" vertical="center"/>
    </xf>
    <xf numFmtId="3" fontId="35" fillId="0" borderId="49" xfId="32" applyNumberFormat="1" applyFont="1" applyFill="1" applyBorder="1" applyAlignment="1">
      <alignment horizontal="center" vertical="center"/>
    </xf>
    <xf numFmtId="3" fontId="35" fillId="0" borderId="50" xfId="32" applyNumberFormat="1" applyFont="1" applyFill="1" applyBorder="1" applyAlignment="1">
      <alignment horizontal="center" vertical="center"/>
    </xf>
    <xf numFmtId="3" fontId="34" fillId="0" borderId="44" xfId="32" applyNumberFormat="1" applyFont="1" applyFill="1" applyBorder="1" applyAlignment="1">
      <alignment horizontal="center" vertical="center"/>
    </xf>
    <xf numFmtId="3" fontId="34" fillId="0" borderId="31" xfId="32" applyNumberFormat="1" applyFont="1" applyFill="1" applyBorder="1" applyAlignment="1">
      <alignment horizontal="center" vertical="center"/>
    </xf>
    <xf numFmtId="3" fontId="34" fillId="0" borderId="61" xfId="32" applyNumberFormat="1" applyFont="1" applyFill="1" applyBorder="1" applyAlignment="1">
      <alignment horizontal="center" vertical="center"/>
    </xf>
    <xf numFmtId="3" fontId="80" fillId="29" borderId="50" xfId="32" applyNumberFormat="1" applyFont="1" applyFill="1" applyBorder="1" applyAlignment="1">
      <alignment horizontal="center" vertical="center"/>
    </xf>
    <xf numFmtId="3" fontId="4" fillId="3" borderId="25" xfId="32" applyNumberFormat="1" applyFont="1" applyFill="1" applyBorder="1" applyAlignment="1" applyProtection="1">
      <alignment horizontal="center" vertical="center"/>
      <protection locked="0"/>
    </xf>
    <xf numFmtId="3" fontId="4" fillId="3" borderId="5" xfId="32" applyNumberFormat="1" applyFont="1" applyFill="1" applyBorder="1" applyAlignment="1" applyProtection="1">
      <alignment horizontal="center" vertical="center"/>
      <protection locked="0"/>
    </xf>
    <xf numFmtId="3" fontId="35" fillId="30" borderId="5" xfId="32" applyNumberFormat="1" applyFont="1" applyFill="1" applyBorder="1" applyAlignment="1">
      <alignment horizontal="left" vertical="center" wrapText="1"/>
    </xf>
    <xf numFmtId="0" fontId="33" fillId="34" borderId="2" xfId="32" applyFont="1" applyFill="1" applyBorder="1" applyAlignment="1">
      <alignment horizontal="center" vertical="center"/>
    </xf>
    <xf numFmtId="0" fontId="33" fillId="34" borderId="2" xfId="32" applyFont="1" applyFill="1" applyBorder="1" applyAlignment="1">
      <alignment horizontal="left" vertical="center"/>
    </xf>
    <xf numFmtId="0" fontId="33" fillId="34" borderId="2" xfId="32" applyFont="1" applyFill="1" applyBorder="1" applyAlignment="1">
      <alignment vertical="center" wrapText="1"/>
    </xf>
    <xf numFmtId="3" fontId="39" fillId="34" borderId="38" xfId="32" applyNumberFormat="1" applyFont="1" applyFill="1" applyBorder="1" applyAlignment="1">
      <alignment horizontal="center" vertical="center"/>
    </xf>
    <xf numFmtId="3" fontId="39" fillId="34" borderId="10" xfId="32" applyNumberFormat="1" applyFont="1" applyFill="1" applyBorder="1" applyAlignment="1">
      <alignment horizontal="center" vertical="center"/>
    </xf>
    <xf numFmtId="3" fontId="33" fillId="34" borderId="65" xfId="32" applyNumberFormat="1" applyFont="1" applyFill="1" applyBorder="1" applyAlignment="1">
      <alignment horizontal="center" vertical="center"/>
    </xf>
    <xf numFmtId="3" fontId="33" fillId="34" borderId="9" xfId="32" applyNumberFormat="1" applyFont="1" applyFill="1" applyBorder="1" applyAlignment="1">
      <alignment horizontal="center" vertical="center"/>
    </xf>
    <xf numFmtId="3" fontId="33" fillId="34" borderId="10" xfId="32" applyNumberFormat="1" applyFont="1" applyFill="1" applyBorder="1" applyAlignment="1">
      <alignment horizontal="center" vertical="center"/>
    </xf>
    <xf numFmtId="3" fontId="33" fillId="34" borderId="1" xfId="32" applyNumberFormat="1" applyFont="1" applyFill="1" applyBorder="1" applyAlignment="1">
      <alignment horizontal="center" vertical="center"/>
    </xf>
    <xf numFmtId="3" fontId="33" fillId="34" borderId="60" xfId="32" applyNumberFormat="1" applyFont="1" applyFill="1" applyBorder="1" applyAlignment="1">
      <alignment horizontal="center" vertical="center"/>
    </xf>
    <xf numFmtId="3" fontId="60" fillId="34" borderId="3" xfId="32" applyNumberFormat="1" applyFont="1" applyFill="1" applyBorder="1" applyAlignment="1">
      <alignment horizontal="center" vertical="center"/>
    </xf>
    <xf numFmtId="3" fontId="34" fillId="32" borderId="38" xfId="49" applyNumberFormat="1" applyFont="1" applyFill="1" applyBorder="1" applyAlignment="1" applyProtection="1">
      <alignment horizontal="right"/>
      <protection locked="0"/>
    </xf>
    <xf numFmtId="3" fontId="34" fillId="32" borderId="60" xfId="49" applyNumberFormat="1" applyFont="1" applyFill="1" applyBorder="1" applyAlignment="1" applyProtection="1">
      <alignment horizontal="right"/>
      <protection locked="0"/>
    </xf>
    <xf numFmtId="3" fontId="34" fillId="32" borderId="2" xfId="49" applyNumberFormat="1" applyFont="1" applyFill="1" applyBorder="1" applyAlignment="1" applyProtection="1">
      <alignment horizontal="center"/>
      <protection locked="0"/>
    </xf>
    <xf numFmtId="3" fontId="34" fillId="32" borderId="65" xfId="49" applyNumberFormat="1" applyFont="1" applyFill="1" applyBorder="1" applyAlignment="1" applyProtection="1">
      <alignment horizontal="center"/>
      <protection locked="0"/>
    </xf>
    <xf numFmtId="3" fontId="34" fillId="32" borderId="9" xfId="49" applyNumberFormat="1" applyFont="1" applyFill="1" applyBorder="1" applyAlignment="1" applyProtection="1">
      <alignment horizontal="center"/>
      <protection locked="0"/>
    </xf>
    <xf numFmtId="3" fontId="34" fillId="32" borderId="10" xfId="49" applyNumberFormat="1" applyFont="1" applyFill="1" applyBorder="1" applyAlignment="1" applyProtection="1">
      <alignment horizontal="right"/>
      <protection locked="0"/>
    </xf>
    <xf numFmtId="3" fontId="34" fillId="32" borderId="3" xfId="49" applyNumberFormat="1" applyFont="1" applyFill="1" applyBorder="1" applyAlignment="1" applyProtection="1">
      <alignment horizontal="left"/>
      <protection locked="0"/>
    </xf>
    <xf numFmtId="3" fontId="34" fillId="0" borderId="5" xfId="32" applyNumberFormat="1" applyFont="1" applyFill="1" applyBorder="1" applyAlignment="1">
      <alignment horizontal="center" vertical="center" wrapText="1"/>
    </xf>
    <xf numFmtId="3" fontId="34" fillId="0" borderId="17" xfId="32" applyNumberFormat="1" applyFont="1" applyFill="1" applyBorder="1" applyAlignment="1">
      <alignment horizontal="center" vertical="center" wrapText="1"/>
    </xf>
    <xf numFmtId="1" fontId="33" fillId="40" borderId="43" xfId="32" applyNumberFormat="1" applyFont="1" applyFill="1" applyBorder="1" applyAlignment="1">
      <alignment horizontal="center" vertical="center"/>
    </xf>
    <xf numFmtId="3" fontId="34" fillId="32" borderId="3" xfId="49" applyNumberFormat="1" applyFont="1" applyFill="1" applyBorder="1" applyAlignment="1" applyProtection="1">
      <alignment horizontal="center"/>
      <protection locked="0"/>
    </xf>
    <xf numFmtId="3" fontId="35" fillId="29" borderId="32" xfId="32" applyNumberFormat="1" applyFont="1" applyFill="1" applyBorder="1" applyAlignment="1">
      <alignment horizontal="center" vertical="center"/>
    </xf>
    <xf numFmtId="3" fontId="34" fillId="29" borderId="5" xfId="32" applyNumberFormat="1" applyFont="1" applyFill="1" applyBorder="1" applyAlignment="1">
      <alignment horizontal="center" vertical="center" wrapText="1"/>
    </xf>
    <xf numFmtId="0" fontId="33" fillId="40" borderId="2" xfId="0" applyFont="1" applyFill="1" applyBorder="1" applyAlignment="1">
      <alignment horizontal="center" vertical="center" wrapText="1"/>
    </xf>
    <xf numFmtId="0" fontId="33" fillId="24" borderId="39" xfId="32" applyFont="1" applyFill="1" applyBorder="1" applyAlignment="1">
      <alignment horizontal="center" vertical="center"/>
    </xf>
    <xf numFmtId="0" fontId="34" fillId="0" borderId="39" xfId="0" applyFont="1" applyFill="1" applyBorder="1" applyAlignment="1">
      <alignment horizontal="center" vertical="center"/>
    </xf>
    <xf numFmtId="3" fontId="34" fillId="30" borderId="36" xfId="32" applyNumberFormat="1" applyFont="1" applyFill="1" applyBorder="1" applyAlignment="1">
      <alignment horizontal="left" vertical="center" wrapText="1"/>
    </xf>
    <xf numFmtId="3" fontId="33" fillId="30" borderId="37" xfId="32" applyNumberFormat="1" applyFont="1" applyFill="1" applyBorder="1" applyAlignment="1">
      <alignment horizontal="center" vertical="center"/>
    </xf>
    <xf numFmtId="3" fontId="80" fillId="29" borderId="55" xfId="32" applyNumberFormat="1" applyFont="1" applyFill="1" applyBorder="1" applyAlignment="1">
      <alignment horizontal="center" vertical="center"/>
    </xf>
    <xf numFmtId="3" fontId="4" fillId="3" borderId="36" xfId="32" applyNumberFormat="1" applyFont="1" applyFill="1" applyBorder="1" applyAlignment="1" applyProtection="1">
      <alignment horizontal="center" vertical="center"/>
      <protection locked="0"/>
    </xf>
    <xf numFmtId="3" fontId="4" fillId="3" borderId="39" xfId="32" applyNumberFormat="1" applyFont="1" applyFill="1" applyBorder="1" applyAlignment="1" applyProtection="1">
      <alignment horizontal="center" vertical="center"/>
      <protection locked="0"/>
    </xf>
    <xf numFmtId="3" fontId="34" fillId="0" borderId="39" xfId="32" applyNumberFormat="1" applyFont="1" applyFill="1" applyBorder="1" applyAlignment="1">
      <alignment horizontal="center" vertical="center" wrapText="1"/>
    </xf>
    <xf numFmtId="3" fontId="35" fillId="0" borderId="39" xfId="32" applyNumberFormat="1" applyFont="1" applyFill="1" applyBorder="1" applyAlignment="1">
      <alignment horizontal="left" vertical="center" wrapText="1"/>
    </xf>
    <xf numFmtId="0" fontId="34" fillId="30" borderId="5" xfId="32" applyFont="1" applyFill="1" applyBorder="1" applyAlignment="1">
      <alignment horizontal="center" vertical="center"/>
    </xf>
    <xf numFmtId="0" fontId="34" fillId="0" borderId="5" xfId="32" applyFont="1" applyFill="1" applyBorder="1" applyAlignment="1">
      <alignment horizontal="center" vertical="center"/>
    </xf>
    <xf numFmtId="3" fontId="34" fillId="30" borderId="5" xfId="32" applyNumberFormat="1" applyFont="1" applyFill="1" applyBorder="1" applyAlignment="1">
      <alignment horizontal="left" vertical="center" wrapText="1"/>
    </xf>
    <xf numFmtId="3" fontId="33" fillId="30" borderId="25" xfId="32" applyNumberFormat="1" applyFont="1" applyFill="1" applyBorder="1" applyAlignment="1">
      <alignment horizontal="center" vertical="center"/>
    </xf>
    <xf numFmtId="3" fontId="80" fillId="3" borderId="50" xfId="32" applyNumberFormat="1" applyFont="1" applyFill="1" applyBorder="1" applyAlignment="1">
      <alignment horizontal="center" vertical="center"/>
    </xf>
    <xf numFmtId="3" fontId="35" fillId="29" borderId="5" xfId="32" applyNumberFormat="1" applyFont="1" applyFill="1" applyBorder="1" applyAlignment="1">
      <alignment horizontal="left" vertical="center" wrapText="1"/>
    </xf>
    <xf numFmtId="3" fontId="60" fillId="34" borderId="10" xfId="32" applyNumberFormat="1" applyFont="1" applyFill="1" applyBorder="1" applyAlignment="1">
      <alignment horizontal="center" vertical="center"/>
    </xf>
    <xf numFmtId="3" fontId="33" fillId="34" borderId="2" xfId="32" applyNumberFormat="1" applyFont="1" applyFill="1" applyBorder="1" applyAlignment="1">
      <alignment horizontal="right" vertical="center" wrapText="1"/>
    </xf>
    <xf numFmtId="3" fontId="33" fillId="34" borderId="10" xfId="32" applyNumberFormat="1" applyFont="1" applyFill="1" applyBorder="1" applyAlignment="1">
      <alignment horizontal="right" vertical="center" wrapText="1"/>
    </xf>
    <xf numFmtId="3" fontId="33" fillId="34" borderId="2" xfId="32" applyNumberFormat="1" applyFont="1" applyFill="1" applyBorder="1" applyAlignment="1">
      <alignment horizontal="center" vertical="center" wrapText="1"/>
    </xf>
    <xf numFmtId="3" fontId="33" fillId="34" borderId="65" xfId="32" applyNumberFormat="1" applyFont="1" applyFill="1" applyBorder="1" applyAlignment="1">
      <alignment horizontal="center" vertical="center" wrapText="1"/>
    </xf>
    <xf numFmtId="3" fontId="33" fillId="34" borderId="9" xfId="32" applyNumberFormat="1" applyFont="1" applyFill="1" applyBorder="1" applyAlignment="1">
      <alignment horizontal="center" vertical="center" wrapText="1"/>
    </xf>
    <xf numFmtId="3" fontId="33" fillId="34" borderId="10" xfId="32" applyNumberFormat="1" applyFont="1" applyFill="1" applyBorder="1" applyAlignment="1">
      <alignment horizontal="center" vertical="center" wrapText="1"/>
    </xf>
    <xf numFmtId="0" fontId="39" fillId="34" borderId="2" xfId="32" applyFont="1" applyFill="1" applyBorder="1" applyAlignment="1">
      <alignment horizontal="left" vertical="center" wrapText="1"/>
    </xf>
    <xf numFmtId="0" fontId="34" fillId="0" borderId="39" xfId="32" applyFont="1" applyFill="1" applyBorder="1" applyAlignment="1">
      <alignment horizontal="center" vertical="center"/>
    </xf>
    <xf numFmtId="3" fontId="34" fillId="0" borderId="5" xfId="32" applyNumberFormat="1" applyFont="1" applyFill="1" applyBorder="1" applyAlignment="1">
      <alignment horizontal="left" vertical="center" wrapText="1"/>
    </xf>
    <xf numFmtId="9" fontId="34" fillId="0" borderId="5" xfId="1" applyFont="1" applyFill="1" applyBorder="1" applyAlignment="1">
      <alignment horizontal="center" vertical="center"/>
    </xf>
    <xf numFmtId="3" fontId="4" fillId="3" borderId="6" xfId="32" applyNumberFormat="1" applyFont="1" applyFill="1" applyBorder="1" applyAlignment="1" applyProtection="1">
      <alignment horizontal="center" vertical="center"/>
      <protection locked="0"/>
    </xf>
    <xf numFmtId="3" fontId="35" fillId="0" borderId="5" xfId="32" applyNumberFormat="1" applyFont="1" applyFill="1" applyBorder="1" applyAlignment="1">
      <alignment horizontal="left" vertical="center" wrapText="1"/>
    </xf>
    <xf numFmtId="9" fontId="34" fillId="0" borderId="39" xfId="1" applyFont="1" applyFill="1" applyBorder="1" applyAlignment="1">
      <alignment horizontal="center" vertical="center"/>
    </xf>
    <xf numFmtId="3" fontId="34" fillId="0" borderId="39" xfId="32" applyNumberFormat="1" applyFont="1" applyFill="1" applyBorder="1" applyAlignment="1">
      <alignment horizontal="left" vertical="center" wrapText="1"/>
    </xf>
    <xf numFmtId="3" fontId="4" fillId="3" borderId="18" xfId="32" applyNumberFormat="1" applyFont="1" applyFill="1" applyBorder="1" applyAlignment="1" applyProtection="1">
      <alignment horizontal="center" vertical="center"/>
      <protection locked="0"/>
    </xf>
    <xf numFmtId="0" fontId="34" fillId="24" borderId="5" xfId="32" applyFont="1" applyFill="1" applyBorder="1" applyAlignment="1">
      <alignment horizontal="center" vertical="center"/>
    </xf>
    <xf numFmtId="9" fontId="34" fillId="29" borderId="5" xfId="1" applyFont="1" applyFill="1" applyBorder="1" applyAlignment="1">
      <alignment horizontal="center" vertical="center"/>
    </xf>
    <xf numFmtId="3" fontId="34" fillId="32" borderId="73" xfId="49" applyNumberFormat="1" applyFont="1" applyFill="1" applyBorder="1" applyAlignment="1" applyProtection="1">
      <alignment horizontal="right"/>
      <protection locked="0"/>
    </xf>
    <xf numFmtId="3" fontId="34" fillId="32" borderId="76" xfId="49" applyNumberFormat="1" applyFont="1" applyFill="1" applyBorder="1" applyAlignment="1" applyProtection="1">
      <alignment horizontal="left"/>
      <protection locked="0"/>
    </xf>
    <xf numFmtId="3" fontId="34" fillId="32" borderId="77" xfId="49" applyNumberFormat="1" applyFont="1" applyFill="1" applyBorder="1" applyAlignment="1" applyProtection="1">
      <alignment horizontal="center"/>
      <protection locked="0"/>
    </xf>
    <xf numFmtId="3" fontId="34" fillId="32" borderId="57" xfId="49" applyNumberFormat="1" applyFont="1" applyFill="1" applyBorder="1" applyAlignment="1" applyProtection="1">
      <alignment horizontal="left"/>
      <protection locked="0"/>
    </xf>
    <xf numFmtId="1" fontId="33" fillId="0" borderId="54" xfId="21" applyNumberFormat="1" applyFont="1" applyFill="1" applyBorder="1">
      <alignment horizontal="center" vertical="center" wrapText="1"/>
    </xf>
    <xf numFmtId="1" fontId="33" fillId="0" borderId="63" xfId="21" applyNumberFormat="1" applyFont="1" applyFill="1" applyBorder="1">
      <alignment horizontal="center" vertical="center" wrapText="1"/>
    </xf>
    <xf numFmtId="1" fontId="33" fillId="0" borderId="55" xfId="21" applyNumberFormat="1" applyFont="1" applyFill="1" applyBorder="1">
      <alignment horizontal="center" vertical="center" wrapText="1"/>
    </xf>
    <xf numFmtId="1" fontId="33" fillId="0" borderId="69" xfId="21" applyNumberFormat="1" applyFont="1" applyFill="1" applyBorder="1">
      <alignment horizontal="center" vertical="center" wrapText="1"/>
    </xf>
    <xf numFmtId="1" fontId="33" fillId="0" borderId="64" xfId="21" applyNumberFormat="1" applyFont="1" applyFill="1" applyBorder="1">
      <alignment horizontal="center" vertical="center" wrapText="1"/>
    </xf>
    <xf numFmtId="3" fontId="4" fillId="3" borderId="38" xfId="32" applyNumberFormat="1" applyFont="1" applyFill="1" applyBorder="1" applyAlignment="1" applyProtection="1">
      <alignment horizontal="center" vertical="center"/>
      <protection locked="0"/>
    </xf>
    <xf numFmtId="3" fontId="4" fillId="3" borderId="9" xfId="32" applyNumberFormat="1" applyFont="1" applyFill="1" applyBorder="1" applyAlignment="1" applyProtection="1">
      <alignment horizontal="center" vertical="center"/>
      <protection locked="0"/>
    </xf>
    <xf numFmtId="3" fontId="4" fillId="3" borderId="10" xfId="32" applyNumberFormat="1" applyFont="1" applyFill="1" applyBorder="1" applyAlignment="1" applyProtection="1">
      <alignment horizontal="center" vertical="center"/>
      <protection locked="0"/>
    </xf>
    <xf numFmtId="3" fontId="4" fillId="3" borderId="60" xfId="32" applyNumberFormat="1" applyFont="1" applyFill="1" applyBorder="1" applyAlignment="1" applyProtection="1">
      <alignment horizontal="center" vertical="center"/>
      <protection locked="0"/>
    </xf>
    <xf numFmtId="3" fontId="4" fillId="3" borderId="65" xfId="32" applyNumberFormat="1" applyFont="1" applyFill="1" applyBorder="1" applyAlignment="1" applyProtection="1">
      <alignment horizontal="center" vertical="center"/>
      <protection locked="0"/>
    </xf>
    <xf numFmtId="10" fontId="34" fillId="29" borderId="15" xfId="1" applyNumberFormat="1" applyFont="1" applyFill="1" applyBorder="1" applyAlignment="1">
      <alignment horizontal="right" vertical="center" wrapText="1"/>
    </xf>
    <xf numFmtId="173" fontId="33" fillId="40" borderId="54" xfId="31" applyNumberFormat="1" applyFont="1" applyFill="1" applyBorder="1" applyAlignment="1">
      <alignment vertical="center"/>
    </xf>
    <xf numFmtId="173" fontId="33" fillId="40" borderId="63" xfId="31" applyNumberFormat="1" applyFont="1" applyFill="1" applyBorder="1" applyAlignment="1">
      <alignment vertical="center"/>
    </xf>
    <xf numFmtId="173" fontId="33" fillId="40" borderId="55" xfId="31" applyNumberFormat="1" applyFont="1" applyFill="1" applyBorder="1" applyAlignment="1">
      <alignment vertical="center"/>
    </xf>
    <xf numFmtId="38" fontId="34" fillId="0" borderId="79" xfId="28" applyFont="1" applyFill="1" applyBorder="1">
      <alignment horizontal="right" vertical="center" wrapText="1"/>
    </xf>
    <xf numFmtId="0" fontId="4" fillId="0" borderId="54" xfId="0" applyFont="1" applyFill="1" applyBorder="1" applyAlignment="1">
      <alignment horizontal="center"/>
    </xf>
    <xf numFmtId="0" fontId="33" fillId="0" borderId="64" xfId="49" applyFont="1" applyFill="1" applyBorder="1" applyAlignment="1" applyProtection="1">
      <alignment horizontal="left" vertical="center" wrapText="1"/>
    </xf>
    <xf numFmtId="0" fontId="4" fillId="0" borderId="38" xfId="0" applyFont="1" applyFill="1" applyBorder="1" applyAlignment="1">
      <alignment horizontal="center"/>
    </xf>
    <xf numFmtId="0" fontId="4" fillId="0" borderId="66" xfId="0" applyFont="1" applyFill="1" applyBorder="1" applyAlignment="1">
      <alignment horizontal="center"/>
    </xf>
    <xf numFmtId="9" fontId="33" fillId="0" borderId="4" xfId="21" applyNumberFormat="1" applyFont="1" applyFill="1" applyBorder="1">
      <alignment horizontal="center" vertical="center" wrapText="1"/>
    </xf>
    <xf numFmtId="9" fontId="33" fillId="0" borderId="67" xfId="21" applyNumberFormat="1" applyFont="1" applyFill="1" applyBorder="1">
      <alignment horizontal="center" vertical="center" wrapText="1"/>
    </xf>
    <xf numFmtId="9" fontId="33" fillId="0" borderId="66" xfId="21" applyNumberFormat="1" applyFont="1" applyFill="1" applyBorder="1">
      <alignment horizontal="center" vertical="center" wrapText="1"/>
    </xf>
    <xf numFmtId="9" fontId="33" fillId="0" borderId="68" xfId="21" applyNumberFormat="1" applyFont="1" applyFill="1" applyBorder="1">
      <alignment horizontal="center" vertical="center" wrapText="1"/>
    </xf>
    <xf numFmtId="9" fontId="33" fillId="0" borderId="13" xfId="21" applyNumberFormat="1" applyFont="1" applyFill="1" applyBorder="1">
      <alignment horizontal="center" vertical="center" wrapText="1"/>
    </xf>
    <xf numFmtId="0" fontId="4" fillId="0" borderId="51" xfId="0" applyFont="1" applyBorder="1" applyAlignment="1">
      <alignment horizontal="center"/>
    </xf>
    <xf numFmtId="0" fontId="4" fillId="0" borderId="17" xfId="0" applyFont="1" applyBorder="1" applyAlignment="1">
      <alignment horizontal="center"/>
    </xf>
    <xf numFmtId="16" fontId="4" fillId="0" borderId="21" xfId="0" applyNumberFormat="1" applyFont="1" applyBorder="1" applyAlignment="1">
      <alignment horizontal="center"/>
    </xf>
    <xf numFmtId="0" fontId="34" fillId="29" borderId="25" xfId="49" applyFont="1" applyFill="1" applyBorder="1" applyAlignment="1">
      <alignment wrapText="1"/>
    </xf>
    <xf numFmtId="0" fontId="34" fillId="29" borderId="24" xfId="49" applyFont="1" applyFill="1" applyBorder="1" applyAlignment="1">
      <alignment wrapText="1"/>
    </xf>
    <xf numFmtId="3" fontId="33" fillId="34" borderId="35" xfId="49" applyNumberFormat="1" applyFont="1" applyFill="1" applyBorder="1" applyAlignment="1">
      <alignment horizontal="center" wrapText="1"/>
    </xf>
    <xf numFmtId="49" fontId="34" fillId="29" borderId="24" xfId="49" applyNumberFormat="1" applyFont="1" applyFill="1" applyBorder="1" applyAlignment="1">
      <alignment wrapText="1"/>
    </xf>
    <xf numFmtId="49" fontId="34" fillId="29" borderId="24" xfId="49" applyNumberFormat="1" applyFont="1" applyFill="1" applyBorder="1" applyAlignment="1">
      <alignment horizontal="right" wrapText="1"/>
    </xf>
    <xf numFmtId="49" fontId="34" fillId="29" borderId="24" xfId="49" applyNumberFormat="1" applyFont="1" applyFill="1" applyBorder="1" applyAlignment="1">
      <alignment horizontal="left" wrapText="1"/>
    </xf>
    <xf numFmtId="0" fontId="34" fillId="29" borderId="24" xfId="49" applyFont="1" applyFill="1" applyBorder="1" applyAlignment="1">
      <alignment horizontal="right" vertical="center" wrapText="1"/>
    </xf>
    <xf numFmtId="49" fontId="34" fillId="29" borderId="24" xfId="49" applyNumberFormat="1" applyFont="1" applyFill="1" applyBorder="1" applyAlignment="1">
      <alignment horizontal="left" vertical="center" wrapText="1"/>
    </xf>
    <xf numFmtId="0" fontId="34" fillId="29" borderId="24" xfId="49" applyFont="1" applyFill="1" applyBorder="1" applyAlignment="1">
      <alignment horizontal="left" vertical="center" wrapText="1"/>
    </xf>
    <xf numFmtId="0" fontId="34" fillId="29" borderId="25" xfId="0" applyFont="1" applyFill="1" applyBorder="1" applyAlignment="1">
      <alignment vertical="center" wrapText="1"/>
    </xf>
    <xf numFmtId="49" fontId="34" fillId="30" borderId="24" xfId="49" applyNumberFormat="1" applyFont="1" applyFill="1" applyBorder="1" applyAlignment="1">
      <alignment wrapText="1"/>
    </xf>
    <xf numFmtId="49" fontId="34" fillId="30" borderId="36" xfId="49" applyNumberFormat="1" applyFont="1" applyFill="1" applyBorder="1" applyAlignment="1">
      <alignment wrapText="1"/>
    </xf>
    <xf numFmtId="0" fontId="4" fillId="29" borderId="25" xfId="49" applyFont="1" applyFill="1" applyBorder="1" applyAlignment="1">
      <alignment wrapText="1"/>
    </xf>
    <xf numFmtId="3" fontId="13" fillId="30" borderId="58" xfId="49" applyNumberFormat="1" applyFont="1" applyFill="1" applyBorder="1" applyAlignment="1">
      <alignment horizontal="center" vertical="center" wrapText="1"/>
    </xf>
    <xf numFmtId="3" fontId="13" fillId="30" borderId="59" xfId="49" applyNumberFormat="1" applyFont="1" applyFill="1" applyBorder="1" applyAlignment="1">
      <alignment horizontal="center" vertical="center" wrapText="1"/>
    </xf>
    <xf numFmtId="3" fontId="13" fillId="30" borderId="26" xfId="49" applyNumberFormat="1" applyFont="1" applyFill="1" applyBorder="1" applyAlignment="1">
      <alignment horizontal="center" vertical="center" wrapText="1"/>
    </xf>
    <xf numFmtId="3" fontId="13" fillId="30" borderId="80" xfId="49" applyNumberFormat="1" applyFont="1" applyFill="1" applyBorder="1" applyAlignment="1">
      <alignment horizontal="center" vertical="center" wrapText="1"/>
    </xf>
    <xf numFmtId="0" fontId="13" fillId="30" borderId="25" xfId="49" applyFont="1" applyFill="1" applyBorder="1" applyAlignment="1">
      <alignment wrapText="1"/>
    </xf>
    <xf numFmtId="0" fontId="4" fillId="29" borderId="24" xfId="49" applyFont="1" applyFill="1" applyBorder="1" applyAlignment="1">
      <alignment vertical="center" wrapText="1"/>
    </xf>
    <xf numFmtId="0" fontId="13" fillId="29" borderId="24" xfId="49" applyFont="1" applyFill="1" applyBorder="1" applyAlignment="1">
      <alignment wrapText="1"/>
    </xf>
    <xf numFmtId="9" fontId="4" fillId="29" borderId="24" xfId="49" applyNumberFormat="1" applyFont="1" applyFill="1" applyBorder="1" applyAlignment="1">
      <alignment horizontal="left" vertical="center"/>
    </xf>
    <xf numFmtId="49" fontId="13" fillId="29" borderId="24" xfId="49" applyNumberFormat="1" applyFont="1" applyFill="1" applyBorder="1" applyAlignment="1">
      <alignment wrapText="1"/>
    </xf>
    <xf numFmtId="49" fontId="4" fillId="29" borderId="24" xfId="49" applyNumberFormat="1" applyFont="1" applyFill="1" applyBorder="1" applyAlignment="1">
      <alignment horizontal="left" wrapText="1"/>
    </xf>
    <xf numFmtId="49" fontId="36" fillId="29" borderId="24" xfId="49" applyNumberFormat="1" applyFont="1" applyFill="1" applyBorder="1" applyAlignment="1">
      <alignment horizontal="right" wrapText="1"/>
    </xf>
    <xf numFmtId="49" fontId="13" fillId="29" borderId="24" xfId="49" applyNumberFormat="1" applyFont="1" applyFill="1" applyBorder="1" applyAlignment="1">
      <alignment horizontal="left" wrapText="1"/>
    </xf>
    <xf numFmtId="0" fontId="36" fillId="29" borderId="24" xfId="49" applyFont="1" applyFill="1" applyBorder="1" applyAlignment="1">
      <alignment horizontal="right" vertical="center" wrapText="1"/>
    </xf>
    <xf numFmtId="0" fontId="4" fillId="29" borderId="24" xfId="49" applyFont="1" applyFill="1" applyBorder="1" applyAlignment="1">
      <alignment horizontal="left" vertical="center" wrapText="1"/>
    </xf>
    <xf numFmtId="0" fontId="13" fillId="29" borderId="24" xfId="49" applyFont="1" applyFill="1" applyBorder="1" applyAlignment="1">
      <alignment horizontal="left" vertical="center" wrapText="1"/>
    </xf>
    <xf numFmtId="49" fontId="13" fillId="30" borderId="30" xfId="49" applyNumberFormat="1" applyFont="1" applyFill="1" applyBorder="1" applyAlignment="1">
      <alignment wrapText="1"/>
    </xf>
    <xf numFmtId="3" fontId="13" fillId="21" borderId="32" xfId="49" applyNumberFormat="1" applyFont="1" applyFill="1" applyBorder="1" applyAlignment="1">
      <alignment horizontal="center" vertical="center"/>
    </xf>
    <xf numFmtId="3" fontId="4" fillId="3" borderId="62" xfId="32" applyNumberFormat="1" applyFont="1" applyFill="1" applyBorder="1" applyAlignment="1" applyProtection="1">
      <alignment horizontal="center" vertical="center"/>
      <protection locked="0"/>
    </xf>
    <xf numFmtId="9" fontId="13" fillId="29" borderId="30" xfId="49" applyNumberFormat="1" applyFont="1" applyFill="1" applyBorder="1" applyAlignment="1">
      <alignment horizontal="center" vertical="center"/>
    </xf>
    <xf numFmtId="168" fontId="35" fillId="0" borderId="17" xfId="49" applyNumberFormat="1" applyFont="1" applyFill="1" applyBorder="1" applyAlignment="1" applyProtection="1">
      <alignment horizontal="center" vertical="center" wrapText="1"/>
    </xf>
    <xf numFmtId="168" fontId="35" fillId="30" borderId="32" xfId="49" applyNumberFormat="1" applyFont="1" applyFill="1" applyBorder="1" applyAlignment="1" applyProtection="1">
      <alignment horizontal="center" vertical="center" wrapText="1"/>
    </xf>
    <xf numFmtId="168" fontId="35" fillId="30" borderId="15" xfId="49" applyNumberFormat="1" applyFont="1" applyFill="1" applyBorder="1" applyAlignment="1" applyProtection="1">
      <alignment horizontal="center" vertical="center" wrapText="1"/>
    </xf>
    <xf numFmtId="168" fontId="34" fillId="0" borderId="24" xfId="49" applyNumberFormat="1" applyFont="1" applyFill="1" applyBorder="1" applyAlignment="1" applyProtection="1">
      <alignment horizontal="center" vertical="center" wrapText="1"/>
    </xf>
    <xf numFmtId="168" fontId="35" fillId="30" borderId="17" xfId="49" applyNumberFormat="1" applyFont="1" applyFill="1" applyBorder="1" applyAlignment="1" applyProtection="1">
      <alignment horizontal="center" vertical="center" wrapText="1"/>
    </xf>
    <xf numFmtId="168" fontId="34" fillId="0" borderId="17" xfId="49" applyNumberFormat="1" applyFont="1" applyFill="1" applyBorder="1" applyAlignment="1" applyProtection="1">
      <alignment horizontal="center" vertical="center" wrapText="1"/>
    </xf>
    <xf numFmtId="168" fontId="34" fillId="30" borderId="32" xfId="49" applyNumberFormat="1" applyFont="1" applyFill="1" applyBorder="1" applyAlignment="1" applyProtection="1">
      <alignment horizontal="center" vertical="center" wrapText="1"/>
    </xf>
    <xf numFmtId="168" fontId="34" fillId="41" borderId="29" xfId="49" applyNumberFormat="1" applyFont="1" applyFill="1" applyBorder="1" applyAlignment="1" applyProtection="1">
      <alignment horizontal="center" vertical="center" wrapText="1"/>
    </xf>
    <xf numFmtId="168" fontId="34" fillId="41" borderId="51" xfId="49" applyNumberFormat="1" applyFont="1" applyFill="1" applyBorder="1" applyAlignment="1" applyProtection="1">
      <alignment horizontal="center" vertical="center" wrapText="1"/>
    </xf>
    <xf numFmtId="168" fontId="34" fillId="41" borderId="72" xfId="49" applyNumberFormat="1" applyFont="1" applyFill="1" applyBorder="1" applyAlignment="1" applyProtection="1">
      <alignment horizontal="center" vertical="center" wrapText="1"/>
    </xf>
    <xf numFmtId="168" fontId="34" fillId="41" borderId="73" xfId="49" applyNumberFormat="1" applyFont="1" applyFill="1" applyBorder="1" applyAlignment="1" applyProtection="1">
      <alignment horizontal="center" vertical="center" wrapText="1"/>
    </xf>
    <xf numFmtId="168" fontId="34" fillId="41" borderId="76" xfId="49" applyNumberFormat="1" applyFont="1" applyFill="1" applyBorder="1" applyAlignment="1" applyProtection="1">
      <alignment horizontal="center" vertical="center" wrapText="1"/>
    </xf>
    <xf numFmtId="168" fontId="34" fillId="41" borderId="24" xfId="49" applyNumberFormat="1" applyFont="1" applyFill="1" applyBorder="1" applyAlignment="1" applyProtection="1">
      <alignment horizontal="center" vertical="center" wrapText="1"/>
    </xf>
    <xf numFmtId="168" fontId="34" fillId="41" borderId="17" xfId="49" applyNumberFormat="1" applyFont="1" applyFill="1" applyBorder="1" applyAlignment="1" applyProtection="1">
      <alignment horizontal="center" vertical="center" wrapText="1"/>
    </xf>
    <xf numFmtId="168" fontId="34" fillId="41" borderId="32" xfId="49" applyNumberFormat="1" applyFont="1" applyFill="1" applyBorder="1" applyAlignment="1" applyProtection="1">
      <alignment horizontal="center" vertical="center" wrapText="1"/>
    </xf>
    <xf numFmtId="168" fontId="34" fillId="41" borderId="7" xfId="49" applyNumberFormat="1" applyFont="1" applyFill="1" applyBorder="1" applyAlignment="1" applyProtection="1">
      <alignment horizontal="center" vertical="center" wrapText="1"/>
    </xf>
    <xf numFmtId="168" fontId="34" fillId="41" borderId="53" xfId="49" applyNumberFormat="1" applyFont="1" applyFill="1" applyBorder="1" applyAlignment="1" applyProtection="1">
      <alignment horizontal="center" vertical="center" wrapText="1"/>
    </xf>
    <xf numFmtId="168" fontId="34" fillId="41" borderId="30" xfId="49" applyNumberFormat="1" applyFont="1" applyFill="1" applyBorder="1" applyAlignment="1" applyProtection="1">
      <alignment horizontal="center" vertical="center" wrapText="1"/>
    </xf>
    <xf numFmtId="168" fontId="34" fillId="41" borderId="21" xfId="49" applyNumberFormat="1" applyFont="1" applyFill="1" applyBorder="1" applyAlignment="1" applyProtection="1">
      <alignment horizontal="center" vertical="center" wrapText="1"/>
    </xf>
    <xf numFmtId="168" fontId="34" fillId="41" borderId="79" xfId="49" applyNumberFormat="1" applyFont="1" applyFill="1" applyBorder="1" applyAlignment="1" applyProtection="1">
      <alignment horizontal="center" vertical="center" wrapText="1"/>
    </xf>
    <xf numFmtId="168" fontId="34" fillId="41" borderId="77" xfId="49" applyNumberFormat="1" applyFont="1" applyFill="1" applyBorder="1" applyAlignment="1" applyProtection="1">
      <alignment horizontal="center" vertical="center" wrapText="1"/>
    </xf>
    <xf numFmtId="168" fontId="34" fillId="41" borderId="57" xfId="49" applyNumberFormat="1" applyFont="1" applyFill="1" applyBorder="1" applyAlignment="1" applyProtection="1">
      <alignment horizontal="center" vertical="center" wrapText="1"/>
    </xf>
    <xf numFmtId="3" fontId="34" fillId="32" borderId="25" xfId="49" applyNumberFormat="1" applyFont="1" applyFill="1" applyBorder="1" applyAlignment="1" applyProtection="1">
      <alignment horizontal="right"/>
      <protection locked="0"/>
    </xf>
    <xf numFmtId="3" fontId="34" fillId="32" borderId="24" xfId="49" applyNumberFormat="1" applyFont="1" applyFill="1" applyBorder="1" applyAlignment="1" applyProtection="1">
      <alignment horizontal="right"/>
      <protection locked="0"/>
    </xf>
    <xf numFmtId="3" fontId="34" fillId="32" borderId="30" xfId="49" applyNumberFormat="1" applyFont="1" applyFill="1" applyBorder="1" applyAlignment="1" applyProtection="1">
      <alignment horizontal="right"/>
      <protection locked="0"/>
    </xf>
    <xf numFmtId="168" fontId="123" fillId="29" borderId="27" xfId="49" applyNumberFormat="1" applyFont="1" applyFill="1" applyBorder="1" applyAlignment="1" applyProtection="1">
      <alignment horizontal="center" vertical="center" wrapText="1"/>
      <protection locked="0"/>
    </xf>
    <xf numFmtId="168" fontId="123" fillId="29" borderId="16" xfId="49" applyNumberFormat="1" applyFont="1" applyFill="1" applyBorder="1" applyAlignment="1" applyProtection="1">
      <alignment horizontal="center" vertical="center" wrapText="1"/>
      <protection locked="0"/>
    </xf>
    <xf numFmtId="168" fontId="33" fillId="26" borderId="26" xfId="49" applyNumberFormat="1" applyFont="1" applyFill="1" applyBorder="1" applyAlignment="1" applyProtection="1">
      <alignment horizontal="center" vertical="center" wrapText="1"/>
    </xf>
    <xf numFmtId="168" fontId="33" fillId="26" borderId="66" xfId="49" applyNumberFormat="1" applyFont="1" applyFill="1" applyBorder="1" applyAlignment="1" applyProtection="1">
      <alignment horizontal="center" vertical="center" wrapText="1"/>
    </xf>
    <xf numFmtId="174" fontId="117" fillId="26" borderId="68" xfId="49" applyNumberFormat="1" applyFont="1" applyFill="1" applyBorder="1" applyAlignment="1" applyProtection="1">
      <alignment horizontal="center" vertical="center" wrapText="1"/>
    </xf>
    <xf numFmtId="168" fontId="33" fillId="26" borderId="13" xfId="49" applyNumberFormat="1" applyFont="1" applyFill="1" applyBorder="1" applyAlignment="1" applyProtection="1">
      <alignment horizontal="center" vertical="center" wrapText="1"/>
    </xf>
    <xf numFmtId="168" fontId="33" fillId="26" borderId="0" xfId="49" applyNumberFormat="1" applyFont="1" applyFill="1" applyBorder="1" applyAlignment="1" applyProtection="1">
      <alignment horizontal="center" vertical="center" wrapText="1"/>
    </xf>
    <xf numFmtId="168" fontId="34" fillId="30" borderId="51" xfId="49" applyNumberFormat="1" applyFont="1" applyFill="1" applyBorder="1" applyAlignment="1" applyProtection="1">
      <alignment horizontal="center" vertical="center" wrapText="1"/>
    </xf>
    <xf numFmtId="168" fontId="34" fillId="30" borderId="22" xfId="49" applyNumberFormat="1" applyFont="1" applyFill="1" applyBorder="1" applyAlignment="1" applyProtection="1">
      <alignment horizontal="center" vertical="center" wrapText="1"/>
    </xf>
    <xf numFmtId="3" fontId="4" fillId="3" borderId="23" xfId="32" applyNumberFormat="1" applyFont="1" applyFill="1" applyBorder="1" applyAlignment="1" applyProtection="1">
      <alignment horizontal="center" vertical="center"/>
      <protection locked="0"/>
    </xf>
    <xf numFmtId="168" fontId="34" fillId="30" borderId="23" xfId="49" applyNumberFormat="1" applyFont="1" applyFill="1" applyBorder="1" applyAlignment="1" applyProtection="1">
      <alignment horizontal="center" vertical="center" wrapText="1"/>
    </xf>
    <xf numFmtId="3" fontId="4" fillId="3" borderId="28" xfId="32" applyNumberFormat="1" applyFont="1" applyFill="1" applyBorder="1" applyAlignment="1" applyProtection="1">
      <alignment horizontal="center" vertical="center"/>
      <protection locked="0"/>
    </xf>
    <xf numFmtId="170" fontId="114" fillId="40" borderId="79" xfId="49" applyNumberFormat="1" applyFont="1" applyFill="1" applyBorder="1" applyAlignment="1" applyProtection="1">
      <alignment horizontal="center" wrapText="1"/>
    </xf>
    <xf numFmtId="168" fontId="122" fillId="30" borderId="72" xfId="49" applyNumberFormat="1" applyFont="1" applyFill="1" applyBorder="1" applyAlignment="1" applyProtection="1">
      <alignment horizontal="center" vertical="center" wrapText="1"/>
    </xf>
    <xf numFmtId="168" fontId="114" fillId="30" borderId="32" xfId="49" applyNumberFormat="1" applyFont="1" applyFill="1" applyBorder="1" applyAlignment="1" applyProtection="1">
      <alignment horizontal="center" vertical="center" wrapText="1"/>
    </xf>
    <xf numFmtId="174" fontId="106" fillId="40" borderId="78" xfId="49" applyNumberFormat="1" applyFont="1" applyFill="1" applyBorder="1" applyAlignment="1" applyProtection="1">
      <alignment horizontal="center" wrapText="1"/>
    </xf>
    <xf numFmtId="174" fontId="117" fillId="26" borderId="67" xfId="49" applyNumberFormat="1" applyFont="1" applyFill="1" applyBorder="1" applyAlignment="1" applyProtection="1">
      <alignment horizontal="center" vertical="center" wrapText="1"/>
    </xf>
    <xf numFmtId="174" fontId="106" fillId="30" borderId="74" xfId="49" applyNumberFormat="1" applyFont="1" applyFill="1" applyBorder="1" applyAlignment="1" applyProtection="1">
      <alignment horizontal="center" vertical="center" wrapText="1"/>
    </xf>
    <xf numFmtId="174" fontId="106" fillId="30" borderId="62" xfId="49" applyNumberFormat="1" applyFont="1" applyFill="1" applyBorder="1" applyAlignment="1" applyProtection="1">
      <alignment horizontal="center" vertical="center" wrapText="1"/>
    </xf>
    <xf numFmtId="170" fontId="33" fillId="40" borderId="51" xfId="49" applyNumberFormat="1" applyFont="1" applyFill="1" applyBorder="1" applyAlignment="1" applyProtection="1">
      <alignment horizontal="center"/>
    </xf>
    <xf numFmtId="168" fontId="122" fillId="30" borderId="51" xfId="49" applyNumberFormat="1" applyFont="1" applyFill="1" applyBorder="1" applyAlignment="1" applyProtection="1">
      <alignment horizontal="center" vertical="center" wrapText="1"/>
    </xf>
    <xf numFmtId="168" fontId="115" fillId="26" borderId="0" xfId="49" applyNumberFormat="1" applyFont="1" applyFill="1" applyBorder="1" applyAlignment="1" applyProtection="1">
      <alignment horizontal="center" vertical="center" wrapText="1"/>
    </xf>
    <xf numFmtId="168" fontId="122" fillId="30" borderId="22" xfId="49" applyNumberFormat="1" applyFont="1" applyFill="1" applyBorder="1" applyAlignment="1" applyProtection="1">
      <alignment horizontal="center" vertical="center" wrapText="1"/>
    </xf>
    <xf numFmtId="0" fontId="33" fillId="2" borderId="42" xfId="0" applyFont="1" applyFill="1" applyBorder="1" applyAlignment="1">
      <alignment horizontal="center" vertical="center"/>
    </xf>
    <xf numFmtId="4" fontId="34" fillId="0" borderId="72" xfId="0" applyNumberFormat="1" applyFont="1" applyFill="1" applyBorder="1" applyAlignment="1" applyProtection="1">
      <alignment horizontal="center" vertical="center"/>
    </xf>
    <xf numFmtId="4" fontId="34" fillId="0" borderId="14" xfId="0" applyNumberFormat="1" applyFont="1" applyFill="1" applyBorder="1" applyAlignment="1" applyProtection="1">
      <alignment horizontal="center" vertical="center"/>
    </xf>
    <xf numFmtId="4" fontId="34" fillId="0" borderId="32" xfId="0" applyNumberFormat="1" applyFont="1" applyFill="1" applyBorder="1" applyAlignment="1" applyProtection="1">
      <alignment horizontal="center" vertical="center"/>
    </xf>
    <xf numFmtId="4" fontId="34" fillId="0" borderId="15" xfId="0" applyNumberFormat="1" applyFont="1" applyFill="1" applyBorder="1" applyAlignment="1" applyProtection="1">
      <alignment horizontal="center" vertical="center"/>
    </xf>
    <xf numFmtId="4" fontId="33" fillId="21" borderId="32" xfId="0" applyNumberFormat="1" applyFont="1" applyFill="1" applyBorder="1" applyAlignment="1" applyProtection="1">
      <alignment horizontal="center" vertical="center"/>
    </xf>
    <xf numFmtId="4" fontId="33" fillId="21" borderId="15" xfId="0" applyNumberFormat="1" applyFont="1" applyFill="1" applyBorder="1" applyAlignment="1" applyProtection="1">
      <alignment horizontal="center" vertical="center"/>
    </xf>
    <xf numFmtId="4" fontId="34" fillId="0" borderId="7" xfId="0" applyNumberFormat="1" applyFont="1" applyFill="1" applyBorder="1" applyAlignment="1" applyProtection="1">
      <alignment horizontal="center" vertical="center"/>
    </xf>
    <xf numFmtId="4" fontId="34" fillId="21" borderId="32" xfId="0" applyNumberFormat="1" applyFont="1" applyFill="1" applyBorder="1" applyAlignment="1" applyProtection="1">
      <alignment horizontal="center" vertical="center"/>
    </xf>
    <xf numFmtId="4" fontId="34" fillId="21" borderId="7" xfId="0" applyNumberFormat="1" applyFont="1" applyFill="1" applyBorder="1" applyAlignment="1" applyProtection="1">
      <alignment horizontal="center" vertical="center"/>
    </xf>
    <xf numFmtId="4" fontId="34" fillId="21" borderId="15" xfId="0" applyNumberFormat="1" applyFont="1" applyFill="1" applyBorder="1" applyAlignment="1" applyProtection="1">
      <alignment horizontal="center" vertical="center"/>
    </xf>
    <xf numFmtId="4" fontId="34" fillId="0" borderId="53" xfId="0" applyNumberFormat="1" applyFont="1" applyFill="1" applyBorder="1" applyAlignment="1" applyProtection="1">
      <alignment horizontal="center" vertical="center"/>
    </xf>
    <xf numFmtId="10" fontId="34" fillId="0" borderId="69" xfId="1" applyNumberFormat="1" applyFont="1" applyFill="1" applyBorder="1" applyAlignment="1" applyProtection="1">
      <alignment horizontal="center" vertical="center"/>
    </xf>
    <xf numFmtId="10" fontId="34" fillId="0" borderId="63" xfId="1" applyNumberFormat="1" applyFont="1" applyFill="1" applyBorder="1" applyAlignment="1" applyProtection="1">
      <alignment horizontal="center" vertical="center"/>
    </xf>
    <xf numFmtId="10" fontId="34" fillId="0" borderId="55" xfId="1" applyNumberFormat="1" applyFont="1" applyFill="1" applyBorder="1" applyAlignment="1" applyProtection="1">
      <alignment horizontal="center" vertical="center"/>
    </xf>
    <xf numFmtId="4" fontId="34" fillId="21" borderId="69" xfId="0" applyNumberFormat="1" applyFont="1" applyFill="1" applyBorder="1" applyAlignment="1" applyProtection="1">
      <alignment horizontal="center" vertical="center"/>
    </xf>
    <xf numFmtId="4" fontId="34" fillId="21" borderId="63" xfId="0" applyNumberFormat="1" applyFont="1" applyFill="1" applyBorder="1" applyAlignment="1" applyProtection="1">
      <alignment horizontal="center" vertical="center"/>
    </xf>
    <xf numFmtId="4" fontId="34" fillId="21" borderId="55" xfId="0" applyNumberFormat="1" applyFont="1" applyFill="1" applyBorder="1" applyAlignment="1" applyProtection="1">
      <alignment horizontal="center" vertical="center"/>
    </xf>
    <xf numFmtId="4" fontId="33" fillId="22" borderId="65" xfId="0" applyNumberFormat="1" applyFont="1" applyFill="1" applyBorder="1" applyAlignment="1" applyProtection="1">
      <alignment horizontal="center" vertical="center"/>
    </xf>
    <xf numFmtId="4" fontId="33" fillId="22" borderId="9" xfId="0" applyNumberFormat="1" applyFont="1" applyFill="1" applyBorder="1" applyAlignment="1" applyProtection="1">
      <alignment horizontal="center" vertical="center"/>
    </xf>
    <xf numFmtId="4" fontId="33" fillId="22" borderId="10" xfId="0" applyNumberFormat="1" applyFont="1" applyFill="1" applyBorder="1" applyAlignment="1" applyProtection="1">
      <alignment horizontal="center" vertical="center"/>
    </xf>
    <xf numFmtId="170" fontId="40" fillId="40" borderId="54" xfId="32" applyNumberFormat="1" applyFont="1" applyFill="1" applyBorder="1" applyAlignment="1" applyProtection="1">
      <alignment horizontal="center" wrapText="1"/>
    </xf>
    <xf numFmtId="170" fontId="40" fillId="40" borderId="63" xfId="32" applyNumberFormat="1" applyFont="1" applyFill="1" applyBorder="1" applyAlignment="1" applyProtection="1">
      <alignment horizontal="center" wrapText="1"/>
    </xf>
    <xf numFmtId="0" fontId="13" fillId="0" borderId="40" xfId="40" quotePrefix="1" applyFont="1" applyBorder="1" applyAlignment="1" applyProtection="1">
      <alignment horizontal="center" vertical="center" wrapText="1"/>
    </xf>
    <xf numFmtId="0" fontId="13" fillId="0" borderId="35" xfId="0" applyFont="1" applyBorder="1"/>
    <xf numFmtId="170" fontId="40" fillId="40" borderId="63" xfId="0" applyNumberFormat="1" applyFont="1" applyFill="1" applyBorder="1" applyAlignment="1" applyProtection="1">
      <alignment horizontal="center" wrapText="1"/>
    </xf>
    <xf numFmtId="170" fontId="40" fillId="40" borderId="55" xfId="0" applyNumberFormat="1" applyFont="1" applyFill="1" applyBorder="1" applyAlignment="1" applyProtection="1">
      <alignment horizontal="center" wrapText="1"/>
    </xf>
    <xf numFmtId="3" fontId="38" fillId="0" borderId="72" xfId="0" applyNumberFormat="1" applyFont="1" applyBorder="1" applyAlignment="1">
      <alignment horizontal="center" vertical="center"/>
    </xf>
    <xf numFmtId="3" fontId="38" fillId="0" borderId="73" xfId="0" applyNumberFormat="1" applyFont="1" applyBorder="1" applyAlignment="1">
      <alignment horizontal="center" vertical="center"/>
    </xf>
    <xf numFmtId="3" fontId="38" fillId="0" borderId="76" xfId="0" applyNumberFormat="1" applyFont="1" applyBorder="1" applyAlignment="1">
      <alignment horizontal="center" vertical="center"/>
    </xf>
    <xf numFmtId="3" fontId="38" fillId="32" borderId="24" xfId="49" applyNumberFormat="1" applyFont="1" applyFill="1" applyBorder="1" applyAlignment="1" applyProtection="1">
      <alignment horizontal="center"/>
      <protection locked="0"/>
    </xf>
    <xf numFmtId="3" fontId="38" fillId="32" borderId="30" xfId="49" applyNumberFormat="1" applyFont="1" applyFill="1" applyBorder="1" applyAlignment="1" applyProtection="1">
      <alignment horizontal="center"/>
      <protection locked="0"/>
    </xf>
    <xf numFmtId="170" fontId="14" fillId="40" borderId="58" xfId="0" applyNumberFormat="1" applyFont="1" applyFill="1" applyBorder="1" applyAlignment="1" applyProtection="1">
      <alignment horizontal="center" wrapText="1"/>
    </xf>
    <xf numFmtId="170" fontId="14" fillId="40" borderId="41" xfId="0" applyNumberFormat="1" applyFont="1" applyFill="1" applyBorder="1" applyAlignment="1" applyProtection="1">
      <alignment horizontal="center" wrapText="1"/>
    </xf>
    <xf numFmtId="0" fontId="13" fillId="40" borderId="45" xfId="0" applyFont="1" applyFill="1" applyBorder="1" applyAlignment="1" applyProtection="1">
      <alignment horizontal="center" vertical="center" wrapText="1"/>
    </xf>
    <xf numFmtId="0" fontId="33" fillId="40" borderId="58" xfId="0" applyFont="1" applyFill="1" applyBorder="1" applyAlignment="1" applyProtection="1">
      <alignment horizontal="center" vertical="center" wrapText="1"/>
    </xf>
    <xf numFmtId="49" fontId="13" fillId="0" borderId="75" xfId="0" applyNumberFormat="1" applyFont="1" applyBorder="1" applyAlignment="1" applyProtection="1">
      <alignment horizontal="center" vertical="center"/>
    </xf>
    <xf numFmtId="0" fontId="4" fillId="0" borderId="73" xfId="0" applyFont="1" applyFill="1" applyBorder="1" applyAlignment="1" applyProtection="1">
      <alignment vertical="center" wrapText="1"/>
    </xf>
    <xf numFmtId="49" fontId="4" fillId="0" borderId="56" xfId="0" applyNumberFormat="1" applyFont="1" applyBorder="1" applyAlignment="1" applyProtection="1">
      <alignment horizontal="center" vertical="center"/>
    </xf>
    <xf numFmtId="0" fontId="4" fillId="0" borderId="77" xfId="0" applyFont="1" applyFill="1" applyBorder="1" applyAlignment="1" applyProtection="1">
      <alignment horizontal="left" vertical="center" wrapText="1"/>
    </xf>
    <xf numFmtId="0" fontId="4" fillId="0" borderId="77" xfId="0" applyFont="1" applyFill="1" applyBorder="1" applyAlignment="1" applyProtection="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4" fillId="0" borderId="0" xfId="0" applyNumberFormat="1" applyFont="1" applyAlignment="1">
      <alignment horizontal="center"/>
    </xf>
    <xf numFmtId="0" fontId="4" fillId="0" borderId="0" xfId="0" applyFont="1" applyAlignment="1">
      <alignment horizontal="right"/>
    </xf>
    <xf numFmtId="3" fontId="40" fillId="0" borderId="4" xfId="0" applyNumberFormat="1" applyFont="1" applyBorder="1" applyAlignment="1" applyProtection="1">
      <alignment horizontal="center" vertical="center"/>
    </xf>
    <xf numFmtId="3" fontId="40" fillId="0" borderId="68" xfId="0" applyNumberFormat="1" applyFont="1" applyBorder="1" applyAlignment="1" applyProtection="1">
      <alignment horizontal="center" vertical="center"/>
    </xf>
    <xf numFmtId="0" fontId="38" fillId="0" borderId="0" xfId="40" applyFont="1" applyAlignment="1" applyProtection="1">
      <alignment horizontal="right" vertical="center"/>
    </xf>
    <xf numFmtId="3" fontId="34" fillId="32" borderId="7" xfId="49" applyNumberFormat="1" applyFont="1" applyFill="1" applyBorder="1" applyAlignment="1" applyProtection="1">
      <alignment horizontal="right"/>
    </xf>
    <xf numFmtId="3" fontId="34" fillId="32" borderId="77" xfId="49" applyNumberFormat="1" applyFont="1" applyFill="1" applyBorder="1" applyAlignment="1" applyProtection="1">
      <alignment horizontal="right"/>
    </xf>
    <xf numFmtId="0" fontId="34" fillId="0" borderId="29" xfId="0" applyFont="1" applyFill="1" applyBorder="1" applyAlignment="1">
      <alignment horizontal="right"/>
    </xf>
    <xf numFmtId="0" fontId="34" fillId="0" borderId="24" xfId="0" applyFont="1" applyFill="1" applyBorder="1" applyAlignment="1">
      <alignment horizontal="right"/>
    </xf>
    <xf numFmtId="0" fontId="34" fillId="0" borderId="30" xfId="0" applyFont="1" applyFill="1" applyBorder="1" applyAlignment="1">
      <alignment horizontal="right"/>
    </xf>
    <xf numFmtId="2" fontId="34" fillId="2" borderId="51" xfId="0" applyNumberFormat="1" applyFont="1" applyFill="1" applyBorder="1" applyAlignment="1">
      <alignment horizontal="center" vertical="center"/>
    </xf>
    <xf numFmtId="2" fontId="34" fillId="2" borderId="17" xfId="0" applyNumberFormat="1" applyFont="1" applyFill="1" applyBorder="1" applyAlignment="1">
      <alignment horizontal="center" vertical="center"/>
    </xf>
    <xf numFmtId="2" fontId="34" fillId="2" borderId="21" xfId="0" applyNumberFormat="1" applyFont="1" applyFill="1" applyBorder="1" applyAlignment="1">
      <alignment horizontal="center" vertical="center"/>
    </xf>
    <xf numFmtId="3" fontId="4" fillId="0" borderId="72" xfId="0" applyNumberFormat="1" applyFont="1" applyFill="1" applyBorder="1" applyAlignment="1" applyProtection="1">
      <alignment horizontal="center" vertical="center" wrapText="1"/>
    </xf>
    <xf numFmtId="3" fontId="4" fillId="0" borderId="73" xfId="0" applyNumberFormat="1" applyFont="1" applyFill="1" applyBorder="1" applyAlignment="1" applyProtection="1">
      <alignment horizontal="center" vertical="center" wrapText="1"/>
    </xf>
    <xf numFmtId="3" fontId="4" fillId="0" borderId="76" xfId="0" applyNumberFormat="1" applyFont="1" applyFill="1" applyBorder="1" applyAlignment="1" applyProtection="1">
      <alignment horizontal="center" vertical="center" wrapText="1"/>
    </xf>
    <xf numFmtId="3" fontId="4" fillId="0" borderId="79" xfId="0" applyNumberFormat="1" applyFont="1" applyFill="1" applyBorder="1" applyAlignment="1" applyProtection="1">
      <alignment horizontal="center" vertical="center" wrapText="1"/>
    </xf>
    <xf numFmtId="3" fontId="4" fillId="0" borderId="77" xfId="0" applyNumberFormat="1" applyFont="1" applyFill="1" applyBorder="1" applyAlignment="1" applyProtection="1">
      <alignment horizontal="center" vertical="center" wrapText="1"/>
    </xf>
    <xf numFmtId="3" fontId="4" fillId="0" borderId="57" xfId="0" applyNumberFormat="1" applyFont="1" applyFill="1" applyBorder="1" applyAlignment="1" applyProtection="1">
      <alignment horizontal="center" vertical="center" wrapText="1"/>
    </xf>
    <xf numFmtId="3" fontId="4" fillId="0" borderId="32" xfId="1" applyNumberFormat="1" applyFont="1" applyFill="1" applyBorder="1" applyAlignment="1" applyProtection="1">
      <alignment horizontal="center" vertical="center"/>
    </xf>
    <xf numFmtId="3" fontId="4" fillId="0" borderId="7" xfId="1" applyNumberFormat="1" applyFont="1" applyFill="1" applyBorder="1" applyAlignment="1" applyProtection="1">
      <alignment horizontal="center" vertical="center"/>
    </xf>
    <xf numFmtId="3" fontId="4" fillId="0" borderId="53" xfId="1" applyNumberFormat="1" applyFont="1" applyFill="1" applyBorder="1" applyAlignment="1" applyProtection="1">
      <alignment horizontal="center" vertical="center"/>
    </xf>
    <xf numFmtId="3" fontId="4" fillId="0" borderId="72" xfId="1" applyNumberFormat="1" applyFont="1" applyFill="1" applyBorder="1" applyAlignment="1" applyProtection="1">
      <alignment horizontal="center" vertical="center"/>
    </xf>
    <xf numFmtId="3" fontId="4" fillId="0" borderId="73" xfId="1" applyNumberFormat="1" applyFont="1" applyFill="1" applyBorder="1" applyAlignment="1" applyProtection="1">
      <alignment horizontal="center" vertical="center"/>
    </xf>
    <xf numFmtId="3" fontId="4" fillId="0" borderId="76" xfId="1" applyNumberFormat="1" applyFont="1" applyFill="1" applyBorder="1" applyAlignment="1" applyProtection="1">
      <alignment horizontal="center" vertical="center"/>
    </xf>
    <xf numFmtId="3" fontId="4" fillId="0" borderId="32" xfId="0" applyNumberFormat="1" applyFont="1" applyFill="1" applyBorder="1" applyAlignment="1" applyProtection="1">
      <alignment horizontal="center" vertical="center" wrapText="1"/>
    </xf>
    <xf numFmtId="3" fontId="4" fillId="0" borderId="7" xfId="0" applyNumberFormat="1" applyFont="1" applyFill="1" applyBorder="1" applyAlignment="1" applyProtection="1">
      <alignment horizontal="center" vertical="center" wrapText="1"/>
    </xf>
    <xf numFmtId="3" fontId="4" fillId="0" borderId="53" xfId="0" applyNumberFormat="1" applyFont="1" applyFill="1" applyBorder="1" applyAlignment="1" applyProtection="1">
      <alignment horizontal="center" vertical="center" wrapText="1"/>
    </xf>
    <xf numFmtId="3" fontId="4" fillId="29" borderId="72" xfId="0" applyNumberFormat="1" applyFont="1" applyFill="1" applyBorder="1" applyAlignment="1" applyProtection="1">
      <alignment horizontal="center" vertical="center" wrapText="1"/>
    </xf>
    <xf numFmtId="3" fontId="4" fillId="29" borderId="73" xfId="0" applyNumberFormat="1" applyFont="1" applyFill="1" applyBorder="1" applyAlignment="1" applyProtection="1">
      <alignment horizontal="center" vertical="center" wrapText="1"/>
    </xf>
    <xf numFmtId="3" fontId="4" fillId="29" borderId="76" xfId="0" applyNumberFormat="1" applyFont="1" applyFill="1" applyBorder="1" applyAlignment="1" applyProtection="1">
      <alignment horizontal="center" vertical="center" wrapText="1"/>
    </xf>
    <xf numFmtId="3" fontId="4" fillId="29" borderId="79" xfId="0" applyNumberFormat="1" applyFont="1" applyFill="1" applyBorder="1" applyAlignment="1" applyProtection="1">
      <alignment horizontal="center" vertical="center" wrapText="1"/>
    </xf>
    <xf numFmtId="3" fontId="4" fillId="29" borderId="77" xfId="0" applyNumberFormat="1" applyFont="1" applyFill="1" applyBorder="1" applyAlignment="1" applyProtection="1">
      <alignment horizontal="center" vertical="center" wrapText="1"/>
    </xf>
    <xf numFmtId="3" fontId="4" fillId="29" borderId="57" xfId="0" applyNumberFormat="1" applyFont="1" applyFill="1" applyBorder="1" applyAlignment="1" applyProtection="1">
      <alignment horizontal="center" vertical="center" wrapText="1"/>
    </xf>
    <xf numFmtId="172" fontId="13" fillId="29" borderId="32" xfId="0" applyNumberFormat="1" applyFont="1" applyFill="1" applyBorder="1" applyAlignment="1" applyProtection="1">
      <alignment horizontal="center" vertical="center" wrapText="1"/>
    </xf>
    <xf numFmtId="172" fontId="13" fillId="29" borderId="7" xfId="0" applyNumberFormat="1" applyFont="1" applyFill="1" applyBorder="1" applyAlignment="1" applyProtection="1">
      <alignment horizontal="center" vertical="center" wrapText="1"/>
    </xf>
    <xf numFmtId="172" fontId="13" fillId="29" borderId="53" xfId="0" applyNumberFormat="1" applyFont="1" applyFill="1" applyBorder="1" applyAlignment="1" applyProtection="1">
      <alignment horizontal="center" vertical="center" wrapText="1"/>
    </xf>
    <xf numFmtId="3" fontId="13" fillId="0" borderId="32" xfId="0" applyNumberFormat="1" applyFont="1" applyFill="1" applyBorder="1" applyAlignment="1" applyProtection="1">
      <alignment horizontal="center" vertical="center"/>
    </xf>
    <xf numFmtId="3" fontId="13" fillId="0" borderId="7" xfId="0" applyNumberFormat="1" applyFont="1" applyFill="1" applyBorder="1" applyAlignment="1" applyProtection="1">
      <alignment horizontal="center" vertical="center"/>
    </xf>
    <xf numFmtId="3" fontId="13" fillId="0" borderId="53" xfId="0" applyNumberFormat="1" applyFont="1" applyFill="1" applyBorder="1" applyAlignment="1" applyProtection="1">
      <alignment horizontal="center" vertical="center"/>
    </xf>
    <xf numFmtId="3" fontId="13" fillId="0" borderId="72" xfId="0" applyNumberFormat="1" applyFont="1" applyFill="1" applyBorder="1" applyAlignment="1" applyProtection="1">
      <alignment horizontal="center" vertical="center"/>
    </xf>
    <xf numFmtId="3" fontId="13" fillId="0" borderId="73" xfId="0" applyNumberFormat="1" applyFont="1" applyFill="1" applyBorder="1" applyAlignment="1" applyProtection="1">
      <alignment horizontal="center" vertical="center"/>
    </xf>
    <xf numFmtId="3" fontId="13" fillId="0" borderId="76" xfId="0" applyNumberFormat="1" applyFont="1" applyFill="1" applyBorder="1" applyAlignment="1" applyProtection="1">
      <alignment horizontal="center" vertical="center"/>
    </xf>
    <xf numFmtId="3" fontId="34" fillId="31" borderId="52" xfId="0" applyNumberFormat="1" applyFont="1" applyFill="1" applyBorder="1" applyAlignment="1" applyProtection="1">
      <alignment horizontal="center" vertical="center"/>
      <protection locked="0"/>
    </xf>
    <xf numFmtId="3" fontId="34" fillId="31" borderId="7" xfId="0" applyNumberFormat="1" applyFont="1" applyFill="1" applyBorder="1" applyAlignment="1" applyProtection="1">
      <alignment horizontal="center" vertical="center"/>
      <protection locked="0"/>
    </xf>
    <xf numFmtId="3" fontId="34" fillId="31" borderId="53" xfId="0" applyNumberFormat="1" applyFont="1" applyFill="1" applyBorder="1" applyAlignment="1" applyProtection="1">
      <alignment horizontal="center" vertical="center"/>
      <protection locked="0"/>
    </xf>
    <xf numFmtId="3" fontId="34" fillId="31" borderId="52" xfId="0" applyNumberFormat="1" applyFont="1" applyFill="1" applyBorder="1" applyAlignment="1" applyProtection="1">
      <alignment horizontal="right" vertical="center"/>
      <protection locked="0"/>
    </xf>
    <xf numFmtId="3" fontId="34" fillId="31" borderId="7" xfId="0" applyNumberFormat="1" applyFont="1" applyFill="1" applyBorder="1" applyAlignment="1" applyProtection="1">
      <alignment horizontal="right" vertical="center"/>
      <protection locked="0"/>
    </xf>
    <xf numFmtId="3" fontId="34" fillId="31" borderId="53" xfId="0" applyNumberFormat="1" applyFont="1" applyFill="1" applyBorder="1" applyAlignment="1" applyProtection="1">
      <alignment horizontal="right" vertical="center"/>
      <protection locked="0"/>
    </xf>
    <xf numFmtId="3" fontId="35" fillId="31" borderId="52" xfId="0" applyNumberFormat="1" applyFont="1" applyFill="1" applyBorder="1" applyAlignment="1" applyProtection="1">
      <alignment horizontal="center" vertical="center"/>
      <protection locked="0"/>
    </xf>
    <xf numFmtId="3" fontId="35" fillId="31" borderId="7" xfId="0" applyNumberFormat="1" applyFont="1" applyFill="1" applyBorder="1" applyAlignment="1" applyProtection="1">
      <alignment horizontal="center" vertical="center"/>
      <protection locked="0"/>
    </xf>
    <xf numFmtId="3" fontId="35" fillId="31" borderId="53" xfId="0" applyNumberFormat="1" applyFont="1" applyFill="1" applyBorder="1" applyAlignment="1" applyProtection="1">
      <alignment horizontal="center" vertical="center"/>
      <protection locked="0"/>
    </xf>
    <xf numFmtId="3" fontId="35" fillId="31" borderId="56" xfId="0" applyNumberFormat="1" applyFont="1" applyFill="1" applyBorder="1" applyAlignment="1" applyProtection="1">
      <alignment horizontal="center" vertical="center"/>
      <protection locked="0"/>
    </xf>
    <xf numFmtId="3" fontId="35" fillId="31" borderId="77" xfId="0" applyNumberFormat="1" applyFont="1" applyFill="1" applyBorder="1" applyAlignment="1" applyProtection="1">
      <alignment horizontal="center" vertical="center"/>
      <protection locked="0"/>
    </xf>
    <xf numFmtId="3" fontId="35" fillId="31" borderId="57" xfId="0" applyNumberFormat="1" applyFont="1" applyFill="1" applyBorder="1" applyAlignment="1" applyProtection="1">
      <alignment horizontal="center" vertical="center"/>
      <protection locked="0"/>
    </xf>
    <xf numFmtId="171" fontId="34" fillId="30" borderId="7" xfId="0" applyNumberFormat="1" applyFont="1" applyFill="1" applyBorder="1" applyAlignment="1" applyProtection="1">
      <alignment horizontal="center" vertical="center"/>
    </xf>
    <xf numFmtId="171" fontId="34" fillId="30" borderId="7" xfId="0" applyNumberFormat="1" applyFont="1" applyFill="1" applyBorder="1" applyAlignment="1" applyProtection="1">
      <alignment horizontal="center" vertical="center" wrapText="1"/>
    </xf>
    <xf numFmtId="171" fontId="33" fillId="26" borderId="7" xfId="0" applyNumberFormat="1" applyFont="1" applyFill="1" applyBorder="1" applyAlignment="1" applyProtection="1">
      <alignment horizontal="center" vertical="center"/>
    </xf>
    <xf numFmtId="3" fontId="34" fillId="32" borderId="7" xfId="49" applyNumberFormat="1" applyFont="1" applyFill="1" applyBorder="1" applyAlignment="1" applyProtection="1">
      <alignment horizontal="right" vertical="center"/>
    </xf>
    <xf numFmtId="4" fontId="6" fillId="29" borderId="7" xfId="0" applyNumberFormat="1" applyFont="1" applyFill="1" applyBorder="1" applyAlignment="1" applyProtection="1">
      <alignment horizontal="center" vertical="center"/>
    </xf>
    <xf numFmtId="3" fontId="33" fillId="26" borderId="7" xfId="0" applyNumberFormat="1" applyFont="1" applyFill="1" applyBorder="1" applyAlignment="1" applyProtection="1">
      <alignment horizontal="center" vertical="center"/>
    </xf>
    <xf numFmtId="3" fontId="6" fillId="29" borderId="7" xfId="0" applyNumberFormat="1" applyFont="1" applyFill="1" applyBorder="1" applyAlignment="1" applyProtection="1">
      <alignment horizontal="center" vertical="center"/>
    </xf>
    <xf numFmtId="171" fontId="115" fillId="29" borderId="7" xfId="49" applyNumberFormat="1" applyFont="1" applyFill="1" applyBorder="1" applyAlignment="1" applyProtection="1">
      <alignment horizontal="center" vertical="center"/>
    </xf>
    <xf numFmtId="171" fontId="115" fillId="29" borderId="62" xfId="49" applyNumberFormat="1" applyFont="1" applyFill="1" applyBorder="1" applyAlignment="1" applyProtection="1">
      <alignment horizontal="center" vertical="center"/>
    </xf>
    <xf numFmtId="3" fontId="0" fillId="30" borderId="95" xfId="0" applyNumberFormat="1" applyFill="1" applyBorder="1" applyAlignment="1" applyProtection="1">
      <alignment horizontal="center" vertical="center"/>
    </xf>
    <xf numFmtId="0" fontId="0" fillId="30" borderId="95" xfId="0" applyFill="1" applyBorder="1" applyAlignment="1" applyProtection="1">
      <alignment horizontal="center" vertical="center"/>
    </xf>
    <xf numFmtId="0" fontId="0" fillId="30" borderId="93" xfId="0" applyFill="1" applyBorder="1" applyAlignment="1" applyProtection="1">
      <alignment horizontal="center" vertical="center"/>
    </xf>
    <xf numFmtId="3" fontId="80" fillId="30" borderId="89" xfId="49" applyNumberFormat="1" applyFont="1" applyFill="1" applyBorder="1" applyAlignment="1" applyProtection="1">
      <alignment horizontal="center" vertical="center"/>
    </xf>
    <xf numFmtId="3" fontId="34" fillId="30" borderId="0" xfId="49" applyNumberFormat="1" applyFont="1" applyFill="1" applyBorder="1" applyAlignment="1" applyProtection="1">
      <alignment horizontal="center" vertical="center"/>
    </xf>
    <xf numFmtId="3" fontId="0" fillId="30" borderId="0" xfId="0" applyNumberFormat="1" applyFill="1" applyBorder="1" applyAlignment="1" applyProtection="1">
      <alignment horizontal="center" vertical="center"/>
    </xf>
    <xf numFmtId="0" fontId="0" fillId="30" borderId="0" xfId="0" applyFill="1" applyBorder="1" applyAlignment="1" applyProtection="1">
      <alignment horizontal="center" vertical="center"/>
    </xf>
    <xf numFmtId="0" fontId="6" fillId="29" borderId="7" xfId="0" applyFont="1" applyFill="1" applyBorder="1" applyAlignment="1" applyProtection="1">
      <alignment horizontal="center" vertical="center"/>
    </xf>
    <xf numFmtId="0" fontId="114" fillId="0" borderId="7" xfId="0" applyFont="1" applyFill="1" applyBorder="1" applyAlignment="1" applyProtection="1">
      <alignment horizontal="left" vertical="center" wrapText="1"/>
    </xf>
    <xf numFmtId="0" fontId="0" fillId="30" borderId="0" xfId="0" applyFill="1" applyBorder="1" applyAlignment="1" applyProtection="1">
      <alignment vertical="center"/>
    </xf>
    <xf numFmtId="3" fontId="34" fillId="32" borderId="63" xfId="49" applyNumberFormat="1" applyFont="1" applyFill="1" applyBorder="1" applyAlignment="1" applyProtection="1">
      <alignment horizontal="right" vertical="center"/>
    </xf>
    <xf numFmtId="4" fontId="6" fillId="29" borderId="63" xfId="0" applyNumberFormat="1" applyFont="1" applyFill="1" applyBorder="1" applyAlignment="1" applyProtection="1">
      <alignment horizontal="center" vertical="center"/>
    </xf>
    <xf numFmtId="3" fontId="33" fillId="26" borderId="7" xfId="0" applyNumberFormat="1" applyFont="1" applyFill="1" applyBorder="1" applyAlignment="1" applyProtection="1">
      <alignment horizontal="left" vertical="center" wrapText="1"/>
    </xf>
    <xf numFmtId="0" fontId="6" fillId="29" borderId="63" xfId="0" applyFont="1" applyFill="1" applyBorder="1" applyAlignment="1" applyProtection="1">
      <alignment horizontal="center" vertical="center"/>
    </xf>
    <xf numFmtId="3" fontId="6" fillId="29" borderId="63" xfId="0" applyNumberFormat="1" applyFont="1" applyFill="1" applyBorder="1" applyAlignment="1" applyProtection="1">
      <alignment horizontal="center" vertical="center"/>
    </xf>
    <xf numFmtId="0" fontId="34" fillId="29" borderId="7" xfId="0" applyFont="1" applyFill="1" applyBorder="1" applyAlignment="1" applyProtection="1">
      <alignment horizontal="center" vertical="center"/>
    </xf>
    <xf numFmtId="3" fontId="34" fillId="30" borderId="7" xfId="0" applyNumberFormat="1" applyFont="1" applyFill="1" applyBorder="1" applyAlignment="1" applyProtection="1">
      <alignment horizontal="center" vertical="center"/>
    </xf>
    <xf numFmtId="3" fontId="34" fillId="30" borderId="7" xfId="0" applyNumberFormat="1" applyFont="1" applyFill="1" applyBorder="1" applyAlignment="1" applyProtection="1">
      <alignment horizontal="center" vertical="center" wrapText="1"/>
    </xf>
    <xf numFmtId="3" fontId="34" fillId="30" borderId="63" xfId="0" applyNumberFormat="1" applyFont="1" applyFill="1" applyBorder="1" applyAlignment="1" applyProtection="1">
      <alignment horizontal="center" vertical="center"/>
    </xf>
    <xf numFmtId="171" fontId="34" fillId="30" borderId="63" xfId="0" applyNumberFormat="1" applyFont="1" applyFill="1" applyBorder="1" applyAlignment="1" applyProtection="1">
      <alignment horizontal="center" vertical="center"/>
    </xf>
    <xf numFmtId="3" fontId="33" fillId="26" borderId="9" xfId="0" applyNumberFormat="1" applyFont="1" applyFill="1" applyBorder="1" applyAlignment="1" applyProtection="1">
      <alignment horizontal="center" vertical="center"/>
    </xf>
    <xf numFmtId="4" fontId="33" fillId="26" borderId="9" xfId="0" applyNumberFormat="1" applyFont="1" applyFill="1" applyBorder="1" applyAlignment="1" applyProtection="1">
      <alignment horizontal="center" vertical="center"/>
    </xf>
    <xf numFmtId="4" fontId="33" fillId="26" borderId="10" xfId="0" applyNumberFormat="1" applyFont="1" applyFill="1" applyBorder="1" applyAlignment="1" applyProtection="1">
      <alignment horizontal="center" vertical="center"/>
    </xf>
    <xf numFmtId="171" fontId="34" fillId="30" borderId="31" xfId="0" applyNumberFormat="1" applyFont="1" applyFill="1" applyBorder="1" applyAlignment="1" applyProtection="1">
      <alignment horizontal="center" vertical="center"/>
    </xf>
    <xf numFmtId="3" fontId="33" fillId="26" borderId="17" xfId="32" applyNumberFormat="1" applyFont="1" applyFill="1" applyBorder="1" applyAlignment="1" applyProtection="1">
      <alignment horizontal="center" vertical="center"/>
    </xf>
    <xf numFmtId="3" fontId="34" fillId="29" borderId="17" xfId="32" applyNumberFormat="1" applyFont="1" applyFill="1" applyBorder="1" applyAlignment="1" applyProtection="1">
      <alignment horizontal="center" vertical="center"/>
    </xf>
    <xf numFmtId="3" fontId="34" fillId="29" borderId="23" xfId="32" applyNumberFormat="1" applyFont="1" applyFill="1" applyBorder="1" applyAlignment="1" applyProtection="1">
      <alignment horizontal="center" vertical="center"/>
    </xf>
    <xf numFmtId="3" fontId="34" fillId="29" borderId="24" xfId="32" applyNumberFormat="1" applyFont="1" applyFill="1" applyBorder="1" applyAlignment="1" applyProtection="1">
      <alignment horizontal="center" vertical="center"/>
    </xf>
    <xf numFmtId="3" fontId="33" fillId="34" borderId="17" xfId="32" applyNumberFormat="1" applyFont="1" applyFill="1" applyBorder="1" applyAlignment="1" applyProtection="1">
      <alignment horizontal="center" vertical="center"/>
    </xf>
    <xf numFmtId="175" fontId="33" fillId="26" borderId="17" xfId="32" applyNumberFormat="1" applyFont="1" applyFill="1" applyBorder="1" applyAlignment="1" applyProtection="1">
      <alignment horizontal="center" vertical="center"/>
    </xf>
    <xf numFmtId="175" fontId="33" fillId="0" borderId="0" xfId="32" applyNumberFormat="1" applyFont="1" applyFill="1" applyBorder="1" applyAlignment="1" applyProtection="1">
      <alignment horizontal="center" vertical="center"/>
    </xf>
    <xf numFmtId="3" fontId="80" fillId="0" borderId="89" xfId="32" applyNumberFormat="1" applyFont="1" applyFill="1" applyBorder="1" applyAlignment="1" applyProtection="1">
      <alignment horizontal="center" vertical="center"/>
    </xf>
    <xf numFmtId="3" fontId="33" fillId="34" borderId="38" xfId="32" applyNumberFormat="1" applyFont="1" applyFill="1" applyBorder="1" applyAlignment="1" applyProtection="1">
      <alignment horizontal="center" vertical="center"/>
    </xf>
    <xf numFmtId="3" fontId="33" fillId="34" borderId="9" xfId="32" applyNumberFormat="1" applyFont="1" applyFill="1" applyBorder="1" applyAlignment="1" applyProtection="1">
      <alignment horizontal="center" vertical="center"/>
    </xf>
    <xf numFmtId="3" fontId="33" fillId="34" borderId="10" xfId="32" applyNumberFormat="1" applyFont="1" applyFill="1" applyBorder="1" applyAlignment="1" applyProtection="1">
      <alignment horizontal="center" vertical="center"/>
    </xf>
    <xf numFmtId="3" fontId="13" fillId="34" borderId="38" xfId="32" applyNumberFormat="1" applyFont="1" applyFill="1" applyBorder="1" applyAlignment="1" applyProtection="1">
      <alignment horizontal="center" vertical="center"/>
    </xf>
    <xf numFmtId="3" fontId="13" fillId="34" borderId="9" xfId="32" applyNumberFormat="1" applyFont="1" applyFill="1" applyBorder="1" applyAlignment="1" applyProtection="1">
      <alignment horizontal="center" vertical="center"/>
    </xf>
    <xf numFmtId="3" fontId="13" fillId="34" borderId="10" xfId="32" applyNumberFormat="1" applyFont="1" applyFill="1" applyBorder="1" applyAlignment="1" applyProtection="1">
      <alignment horizontal="center" vertical="center"/>
    </xf>
    <xf numFmtId="3" fontId="34" fillId="32" borderId="38" xfId="49" applyNumberFormat="1" applyFont="1" applyFill="1" applyBorder="1" applyAlignment="1" applyProtection="1">
      <alignment horizontal="right" vertical="center"/>
    </xf>
    <xf numFmtId="3" fontId="34" fillId="32" borderId="9" xfId="49" applyNumberFormat="1" applyFont="1" applyFill="1" applyBorder="1" applyAlignment="1" applyProtection="1">
      <alignment horizontal="right" vertical="center"/>
    </xf>
    <xf numFmtId="3" fontId="34" fillId="32" borderId="10" xfId="49" applyNumberFormat="1" applyFont="1" applyFill="1" applyBorder="1" applyAlignment="1" applyProtection="1">
      <alignment horizontal="right" vertical="center"/>
    </xf>
    <xf numFmtId="3" fontId="60" fillId="29" borderId="9" xfId="32" applyNumberFormat="1" applyFont="1" applyFill="1" applyBorder="1" applyAlignment="1" applyProtection="1">
      <alignment horizontal="center" vertical="center"/>
    </xf>
    <xf numFmtId="3" fontId="60" fillId="29" borderId="10" xfId="32" applyNumberFormat="1" applyFont="1" applyFill="1" applyBorder="1" applyAlignment="1" applyProtection="1">
      <alignment horizontal="center" vertical="center"/>
    </xf>
    <xf numFmtId="3" fontId="33" fillId="34" borderId="65" xfId="32" applyNumberFormat="1" applyFont="1" applyFill="1" applyBorder="1" applyAlignment="1" applyProtection="1">
      <alignment horizontal="center" vertical="center"/>
    </xf>
    <xf numFmtId="3" fontId="117" fillId="29" borderId="65" xfId="32" applyNumberFormat="1" applyFont="1" applyFill="1" applyBorder="1" applyAlignment="1" applyProtection="1">
      <alignment horizontal="center" vertical="center"/>
    </xf>
    <xf numFmtId="3" fontId="117" fillId="29" borderId="9" xfId="32" applyNumberFormat="1" applyFont="1" applyFill="1" applyBorder="1" applyAlignment="1" applyProtection="1">
      <alignment horizontal="center" vertical="center"/>
    </xf>
    <xf numFmtId="3" fontId="117" fillId="29" borderId="10" xfId="32" applyNumberFormat="1" applyFont="1" applyFill="1" applyBorder="1" applyAlignment="1" applyProtection="1">
      <alignment horizontal="center" vertical="center"/>
    </xf>
    <xf numFmtId="3" fontId="33" fillId="34" borderId="80" xfId="32" applyNumberFormat="1" applyFont="1" applyFill="1" applyBorder="1" applyAlignment="1" applyProtection="1">
      <alignment horizontal="center" vertical="center"/>
    </xf>
    <xf numFmtId="3" fontId="33" fillId="34" borderId="58" xfId="32" applyNumberFormat="1" applyFont="1" applyFill="1" applyBorder="1" applyAlignment="1" applyProtection="1">
      <alignment horizontal="center" vertical="center"/>
    </xf>
    <xf numFmtId="3" fontId="33" fillId="34" borderId="46" xfId="32" applyNumberFormat="1" applyFont="1" applyFill="1" applyBorder="1" applyAlignment="1" applyProtection="1">
      <alignment horizontal="center" vertical="center"/>
    </xf>
    <xf numFmtId="3" fontId="60" fillId="30" borderId="65" xfId="32" applyNumberFormat="1" applyFont="1" applyFill="1" applyBorder="1" applyAlignment="1" applyProtection="1">
      <alignment horizontal="center" vertical="center"/>
    </xf>
    <xf numFmtId="3" fontId="60" fillId="30" borderId="9" xfId="32" applyNumberFormat="1" applyFont="1" applyFill="1" applyBorder="1" applyAlignment="1" applyProtection="1">
      <alignment horizontal="center" vertical="center"/>
    </xf>
    <xf numFmtId="3" fontId="60" fillId="30" borderId="10" xfId="32" applyNumberFormat="1" applyFont="1" applyFill="1" applyBorder="1" applyAlignment="1" applyProtection="1">
      <alignment horizontal="center" vertical="center"/>
    </xf>
    <xf numFmtId="0" fontId="4" fillId="0" borderId="21" xfId="0" applyFont="1" applyBorder="1" applyAlignment="1">
      <alignment horizontal="center" vertical="center"/>
    </xf>
    <xf numFmtId="0" fontId="12" fillId="0" borderId="0" xfId="0" applyFont="1" applyFill="1" applyAlignment="1">
      <alignment horizontal="center" vertical="center" wrapText="1"/>
    </xf>
    <xf numFmtId="2" fontId="33" fillId="40" borderId="29" xfId="49" applyNumberFormat="1" applyFont="1" applyFill="1" applyBorder="1" applyAlignment="1" applyProtection="1">
      <alignment horizontal="center" vertical="center" wrapText="1"/>
    </xf>
    <xf numFmtId="2" fontId="33" fillId="40" borderId="14" xfId="49" applyNumberFormat="1" applyFont="1" applyFill="1" applyBorder="1" applyAlignment="1" applyProtection="1">
      <alignment horizontal="center" vertical="center" wrapText="1"/>
    </xf>
    <xf numFmtId="3" fontId="34" fillId="3" borderId="7" xfId="0" applyNumberFormat="1" applyFont="1" applyFill="1" applyBorder="1" applyAlignment="1" applyProtection="1">
      <alignment horizontal="center" vertical="center" wrapText="1"/>
      <protection locked="0"/>
    </xf>
    <xf numFmtId="4" fontId="34" fillId="3" borderId="7" xfId="0" applyNumberFormat="1" applyFont="1" applyFill="1" applyBorder="1" applyAlignment="1" applyProtection="1">
      <alignment horizontal="center" vertical="center"/>
      <protection locked="0"/>
    </xf>
    <xf numFmtId="0" fontId="61" fillId="21" borderId="17" xfId="52" applyFont="1" applyFill="1" applyBorder="1" applyAlignment="1" applyProtection="1">
      <alignment horizontal="left" vertical="center" wrapText="1"/>
    </xf>
    <xf numFmtId="49" fontId="61" fillId="30" borderId="17" xfId="52" applyNumberFormat="1" applyFont="1" applyFill="1" applyBorder="1" applyAlignment="1" applyProtection="1">
      <alignment horizontal="center" vertical="center" wrapText="1"/>
    </xf>
    <xf numFmtId="0" fontId="33" fillId="34" borderId="38" xfId="32" applyFont="1" applyFill="1" applyBorder="1" applyAlignment="1" applyProtection="1">
      <alignment horizontal="center" vertical="center" wrapText="1"/>
    </xf>
    <xf numFmtId="0" fontId="33" fillId="34" borderId="60" xfId="32" applyFont="1" applyFill="1" applyBorder="1" applyAlignment="1" applyProtection="1">
      <alignment horizontal="center" vertical="center" wrapText="1"/>
    </xf>
    <xf numFmtId="49" fontId="33" fillId="26" borderId="9" xfId="32" applyNumberFormat="1" applyFont="1" applyFill="1" applyBorder="1" applyAlignment="1" applyProtection="1">
      <alignment horizontal="left" vertical="center"/>
    </xf>
    <xf numFmtId="0" fontId="34" fillId="30" borderId="49" xfId="32" applyFont="1" applyFill="1" applyBorder="1" applyAlignment="1" applyProtection="1">
      <alignment horizontal="center"/>
    </xf>
    <xf numFmtId="49" fontId="34" fillId="30" borderId="61" xfId="32" applyNumberFormat="1" applyFont="1" applyFill="1" applyBorder="1" applyAlignment="1" applyProtection="1">
      <alignment horizontal="left" vertical="center" wrapText="1"/>
    </xf>
    <xf numFmtId="0" fontId="34" fillId="30" borderId="52" xfId="32" applyFont="1" applyFill="1" applyBorder="1" applyAlignment="1" applyProtection="1">
      <alignment horizontal="center"/>
    </xf>
    <xf numFmtId="49" fontId="34" fillId="30" borderId="62" xfId="32" applyNumberFormat="1" applyFont="1" applyFill="1" applyBorder="1" applyAlignment="1" applyProtection="1">
      <alignment horizontal="left" vertical="center" wrapText="1"/>
    </xf>
    <xf numFmtId="49" fontId="34" fillId="30" borderId="62" xfId="32" applyNumberFormat="1" applyFont="1" applyFill="1" applyBorder="1" applyAlignment="1" applyProtection="1">
      <alignment horizontal="left" vertical="center"/>
    </xf>
    <xf numFmtId="49" fontId="34" fillId="0" borderId="62" xfId="32" applyNumberFormat="1" applyFont="1" applyFill="1" applyBorder="1" applyAlignment="1" applyProtection="1">
      <alignment horizontal="left" vertical="center" wrapText="1"/>
    </xf>
    <xf numFmtId="0" fontId="34" fillId="34" borderId="38" xfId="32" applyFont="1" applyFill="1" applyBorder="1" applyAlignment="1" applyProtection="1">
      <alignment horizontal="center"/>
    </xf>
    <xf numFmtId="49" fontId="13" fillId="34" borderId="60" xfId="32" applyNumberFormat="1" applyFont="1" applyFill="1" applyBorder="1" applyAlignment="1" applyProtection="1">
      <alignment horizontal="left" vertical="center"/>
    </xf>
    <xf numFmtId="49" fontId="34" fillId="34" borderId="2" xfId="32" applyNumberFormat="1" applyFont="1" applyFill="1" applyBorder="1" applyAlignment="1" applyProtection="1">
      <alignment horizontal="center" vertical="center"/>
    </xf>
    <xf numFmtId="0" fontId="34" fillId="29" borderId="38" xfId="32" applyFont="1" applyFill="1" applyBorder="1" applyAlignment="1" applyProtection="1">
      <alignment horizontal="center"/>
    </xf>
    <xf numFmtId="0" fontId="118" fillId="30" borderId="111" xfId="49" applyFont="1" applyFill="1" applyBorder="1" applyAlignment="1" applyProtection="1">
      <alignment horizontal="center" wrapText="1"/>
    </xf>
    <xf numFmtId="3" fontId="34" fillId="32" borderId="2" xfId="49" applyNumberFormat="1" applyFont="1" applyFill="1" applyBorder="1" applyAlignment="1" applyProtection="1">
      <alignment horizontal="right"/>
    </xf>
    <xf numFmtId="0" fontId="33" fillId="34" borderId="45" xfId="32" applyFont="1" applyFill="1" applyBorder="1" applyAlignment="1" applyProtection="1">
      <alignment horizontal="center" vertical="center" wrapText="1"/>
    </xf>
    <xf numFmtId="0" fontId="33" fillId="34" borderId="59" xfId="32" applyFont="1" applyFill="1" applyBorder="1" applyAlignment="1" applyProtection="1">
      <alignment horizontal="center" vertical="center" wrapText="1"/>
    </xf>
    <xf numFmtId="49" fontId="33" fillId="26" borderId="58" xfId="32" applyNumberFormat="1" applyFont="1" applyFill="1" applyBorder="1" applyAlignment="1" applyProtection="1">
      <alignment horizontal="left" vertical="center"/>
    </xf>
    <xf numFmtId="0" fontId="34" fillId="30" borderId="75" xfId="32" applyFont="1" applyFill="1" applyBorder="1" applyAlignment="1" applyProtection="1">
      <alignment horizontal="center"/>
    </xf>
    <xf numFmtId="49" fontId="34" fillId="30" borderId="74" xfId="32" applyNumberFormat="1" applyFont="1" applyFill="1" applyBorder="1" applyAlignment="1" applyProtection="1">
      <alignment horizontal="left" vertical="center" wrapText="1"/>
    </xf>
    <xf numFmtId="0" fontId="34" fillId="30" borderId="54" xfId="32" applyFont="1" applyFill="1" applyBorder="1" applyAlignment="1" applyProtection="1">
      <alignment horizontal="center"/>
    </xf>
    <xf numFmtId="49" fontId="34" fillId="30" borderId="64" xfId="32" applyNumberFormat="1" applyFont="1" applyFill="1" applyBorder="1" applyAlignment="1" applyProtection="1">
      <alignment horizontal="left" vertical="center" wrapText="1"/>
    </xf>
    <xf numFmtId="0" fontId="13" fillId="30" borderId="1" xfId="32" applyFont="1" applyFill="1" applyBorder="1" applyAlignment="1" applyProtection="1">
      <alignment horizontal="center" wrapText="1"/>
    </xf>
    <xf numFmtId="3" fontId="33" fillId="26" borderId="2" xfId="0" applyNumberFormat="1" applyFont="1" applyFill="1" applyBorder="1" applyAlignment="1" applyProtection="1">
      <alignment horizontal="center" vertical="center"/>
    </xf>
    <xf numFmtId="3" fontId="33" fillId="26" borderId="1" xfId="0" applyNumberFormat="1" applyFont="1" applyFill="1" applyBorder="1" applyAlignment="1" applyProtection="1">
      <alignment horizontal="left" vertical="center" wrapText="1"/>
    </xf>
    <xf numFmtId="3" fontId="33" fillId="43" borderId="7" xfId="0" applyNumberFormat="1" applyFont="1" applyFill="1" applyBorder="1" applyAlignment="1" applyProtection="1">
      <alignment vertical="center"/>
    </xf>
    <xf numFmtId="3" fontId="33" fillId="43" borderId="7" xfId="0" applyNumberFormat="1" applyFont="1" applyFill="1" applyBorder="1" applyAlignment="1" applyProtection="1">
      <alignment vertical="center" wrapText="1"/>
    </xf>
    <xf numFmtId="3" fontId="34" fillId="21" borderId="7" xfId="0" applyNumberFormat="1" applyFont="1" applyFill="1" applyBorder="1" applyAlignment="1" applyProtection="1">
      <alignment horizontal="center" vertical="center"/>
    </xf>
    <xf numFmtId="3" fontId="34" fillId="21" borderId="7" xfId="0" applyNumberFormat="1" applyFont="1" applyFill="1" applyBorder="1" applyAlignment="1" applyProtection="1">
      <alignment horizontal="left" vertical="center" wrapText="1"/>
    </xf>
    <xf numFmtId="0" fontId="33" fillId="34" borderId="75" xfId="32" applyFont="1" applyFill="1" applyBorder="1" applyAlignment="1" applyProtection="1">
      <alignment horizontal="center" vertical="center"/>
    </xf>
    <xf numFmtId="0" fontId="33" fillId="34" borderId="76" xfId="32" applyFont="1" applyFill="1" applyBorder="1" applyAlignment="1" applyProtection="1">
      <alignment vertical="center"/>
    </xf>
    <xf numFmtId="16" fontId="34" fillId="29" borderId="52" xfId="32" applyNumberFormat="1" applyFont="1" applyFill="1" applyBorder="1" applyAlignment="1" applyProtection="1">
      <alignment horizontal="center" vertical="center"/>
    </xf>
    <xf numFmtId="0" fontId="34" fillId="29" borderId="53" xfId="0" applyFont="1" applyFill="1" applyBorder="1" applyAlignment="1" applyProtection="1">
      <alignment vertical="center"/>
    </xf>
    <xf numFmtId="0" fontId="34" fillId="29" borderId="52" xfId="32" applyFont="1" applyFill="1" applyBorder="1" applyAlignment="1" applyProtection="1">
      <alignment horizontal="center" vertical="center"/>
    </xf>
    <xf numFmtId="0" fontId="34" fillId="29" borderId="53" xfId="32" applyFont="1" applyFill="1" applyBorder="1" applyAlignment="1" applyProtection="1">
      <alignment vertical="center"/>
    </xf>
    <xf numFmtId="49" fontId="33" fillId="30" borderId="56" xfId="0" applyNumberFormat="1" applyFont="1" applyFill="1" applyBorder="1" applyAlignment="1" applyProtection="1">
      <alignment horizontal="center" vertical="center" wrapText="1"/>
    </xf>
    <xf numFmtId="49" fontId="33" fillId="30" borderId="57" xfId="0" applyNumberFormat="1" applyFont="1" applyFill="1" applyBorder="1" applyAlignment="1" applyProtection="1">
      <alignment vertical="center" wrapText="1"/>
    </xf>
    <xf numFmtId="49" fontId="33" fillId="30" borderId="75" xfId="0" applyNumberFormat="1" applyFont="1" applyFill="1" applyBorder="1" applyAlignment="1" applyProtection="1">
      <alignment horizontal="center" vertical="center" wrapText="1"/>
    </xf>
    <xf numFmtId="49" fontId="39" fillId="0" borderId="76" xfId="0" applyNumberFormat="1" applyFont="1" applyFill="1" applyBorder="1" applyAlignment="1" applyProtection="1">
      <alignment vertical="center" wrapText="1"/>
    </xf>
    <xf numFmtId="49" fontId="33" fillId="30" borderId="52" xfId="0" applyNumberFormat="1" applyFont="1" applyFill="1" applyBorder="1" applyAlignment="1" applyProtection="1">
      <alignment horizontal="center" vertical="center" wrapText="1"/>
    </xf>
    <xf numFmtId="49" fontId="39" fillId="30" borderId="53" xfId="0" applyNumberFormat="1" applyFont="1" applyFill="1" applyBorder="1" applyAlignment="1" applyProtection="1">
      <alignment vertical="center" wrapText="1"/>
    </xf>
    <xf numFmtId="49" fontId="34" fillId="30" borderId="52" xfId="32" applyNumberFormat="1" applyFont="1" applyFill="1" applyBorder="1" applyAlignment="1" applyProtection="1">
      <alignment horizontal="center" vertical="center" wrapText="1"/>
    </xf>
    <xf numFmtId="49" fontId="35" fillId="30" borderId="53" xfId="0" applyNumberFormat="1" applyFont="1" applyFill="1" applyBorder="1" applyAlignment="1" applyProtection="1">
      <alignment vertical="center" wrapText="1"/>
    </xf>
    <xf numFmtId="49" fontId="34" fillId="30" borderId="56" xfId="32" applyNumberFormat="1" applyFont="1" applyFill="1" applyBorder="1" applyAlignment="1" applyProtection="1">
      <alignment horizontal="center" vertical="center" wrapText="1"/>
    </xf>
    <xf numFmtId="49" fontId="35" fillId="30" borderId="57" xfId="0" applyNumberFormat="1" applyFont="1" applyFill="1" applyBorder="1" applyAlignment="1" applyProtection="1">
      <alignment vertical="center" wrapText="1"/>
    </xf>
    <xf numFmtId="49" fontId="33" fillId="30" borderId="75" xfId="32" applyNumberFormat="1" applyFont="1" applyFill="1" applyBorder="1" applyAlignment="1" applyProtection="1">
      <alignment horizontal="center" vertical="center" wrapText="1"/>
    </xf>
    <xf numFmtId="49" fontId="33" fillId="30" borderId="76" xfId="0" applyNumberFormat="1" applyFont="1" applyFill="1" applyBorder="1" applyAlignment="1" applyProtection="1">
      <alignment vertical="center" wrapText="1"/>
    </xf>
    <xf numFmtId="49" fontId="34" fillId="30" borderId="53" xfId="0" applyNumberFormat="1" applyFont="1" applyFill="1" applyBorder="1" applyAlignment="1" applyProtection="1">
      <alignment vertical="center" wrapText="1"/>
    </xf>
    <xf numFmtId="49" fontId="34" fillId="30" borderId="57" xfId="0" applyNumberFormat="1" applyFont="1" applyFill="1" applyBorder="1" applyAlignment="1" applyProtection="1">
      <alignment vertical="center" wrapText="1"/>
    </xf>
    <xf numFmtId="49" fontId="34" fillId="30" borderId="75" xfId="32" applyNumberFormat="1" applyFont="1" applyFill="1" applyBorder="1" applyAlignment="1" applyProtection="1">
      <alignment horizontal="center" vertical="center" wrapText="1"/>
    </xf>
    <xf numFmtId="49" fontId="34" fillId="30" borderId="76" xfId="0" applyNumberFormat="1" applyFont="1" applyFill="1" applyBorder="1" applyAlignment="1" applyProtection="1">
      <alignment vertical="center" wrapText="1"/>
    </xf>
    <xf numFmtId="49" fontId="33" fillId="30" borderId="49" xfId="32" applyNumberFormat="1" applyFont="1" applyFill="1" applyBorder="1" applyAlignment="1" applyProtection="1">
      <alignment horizontal="center" vertical="center" wrapText="1"/>
    </xf>
    <xf numFmtId="49" fontId="34" fillId="30" borderId="53" xfId="32" applyNumberFormat="1" applyFont="1" applyFill="1" applyBorder="1" applyAlignment="1" applyProtection="1">
      <alignment vertical="center" wrapText="1"/>
    </xf>
    <xf numFmtId="49" fontId="34" fillId="30" borderId="57" xfId="32" applyNumberFormat="1" applyFont="1" applyFill="1" applyBorder="1" applyAlignment="1" applyProtection="1">
      <alignment vertical="center" wrapText="1"/>
    </xf>
    <xf numFmtId="49" fontId="13" fillId="40" borderId="35" xfId="0" applyNumberFormat="1" applyFont="1" applyFill="1" applyBorder="1" applyAlignment="1" applyProtection="1">
      <alignment horizontal="center" vertical="center"/>
    </xf>
    <xf numFmtId="49" fontId="13" fillId="40" borderId="41" xfId="0" applyNumberFormat="1" applyFont="1" applyFill="1" applyBorder="1" applyAlignment="1" applyProtection="1">
      <alignment horizontal="center" vertical="center"/>
    </xf>
    <xf numFmtId="0" fontId="13" fillId="40" borderId="35" xfId="0" applyFont="1" applyFill="1" applyBorder="1" applyAlignment="1" applyProtection="1">
      <alignment horizontal="center" vertical="center"/>
    </xf>
    <xf numFmtId="0" fontId="13" fillId="40" borderId="2" xfId="0" applyFont="1" applyFill="1" applyBorder="1" applyAlignment="1" applyProtection="1">
      <alignment horizontal="center" vertical="center" wrapText="1"/>
    </xf>
    <xf numFmtId="0" fontId="13" fillId="40" borderId="3" xfId="0" applyFont="1" applyFill="1" applyBorder="1" applyAlignment="1" applyProtection="1">
      <alignment horizontal="center" vertical="center" wrapText="1"/>
    </xf>
    <xf numFmtId="0" fontId="13" fillId="40" borderId="1" xfId="0" applyFont="1" applyFill="1" applyBorder="1" applyAlignment="1" applyProtection="1">
      <alignment horizontal="center" vertical="center" wrapText="1"/>
    </xf>
    <xf numFmtId="0" fontId="13" fillId="40" borderId="38" xfId="0" applyFont="1" applyFill="1" applyBorder="1" applyAlignment="1" applyProtection="1">
      <alignment horizontal="center" vertical="center" wrapText="1"/>
    </xf>
    <xf numFmtId="0" fontId="13" fillId="40" borderId="10" xfId="0" applyFont="1" applyFill="1" applyBorder="1" applyAlignment="1" applyProtection="1">
      <alignment horizontal="center" vertical="center" wrapText="1"/>
    </xf>
    <xf numFmtId="0" fontId="13" fillId="40" borderId="26" xfId="0" applyFont="1" applyFill="1" applyBorder="1" applyAlignment="1" applyProtection="1">
      <alignment horizontal="center" vertical="center" wrapText="1"/>
    </xf>
    <xf numFmtId="0" fontId="13" fillId="40" borderId="13" xfId="0" applyFont="1" applyFill="1" applyBorder="1" applyAlignment="1" applyProtection="1">
      <alignment horizontal="center" vertical="center" wrapText="1"/>
    </xf>
    <xf numFmtId="0" fontId="13" fillId="40" borderId="4" xfId="0" applyFont="1" applyFill="1" applyBorder="1" applyAlignment="1" applyProtection="1">
      <alignment horizontal="center" vertical="center" wrapText="1"/>
    </xf>
    <xf numFmtId="0" fontId="13" fillId="40" borderId="68" xfId="0" applyFont="1" applyFill="1" applyBorder="1" applyAlignment="1" applyProtection="1">
      <alignment horizontal="center" vertical="center" wrapText="1"/>
    </xf>
    <xf numFmtId="0" fontId="13" fillId="40" borderId="67" xfId="0" applyFont="1" applyFill="1" applyBorder="1" applyAlignment="1" applyProtection="1">
      <alignment horizontal="center" vertical="center" wrapText="1"/>
    </xf>
    <xf numFmtId="0" fontId="4" fillId="0" borderId="0" xfId="0" applyFont="1" applyAlignment="1">
      <alignment horizontal="center" vertical="center"/>
    </xf>
    <xf numFmtId="0" fontId="34" fillId="0" borderId="0" xfId="0" applyFont="1" applyAlignment="1">
      <alignment horizontal="center"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xf>
    <xf numFmtId="0" fontId="11" fillId="0" borderId="0" xfId="0" applyFont="1" applyFill="1" applyAlignment="1">
      <alignment horizontal="center" vertical="center"/>
    </xf>
    <xf numFmtId="3" fontId="4" fillId="3" borderId="51" xfId="0" applyNumberFormat="1" applyFont="1" applyFill="1" applyBorder="1" applyAlignment="1" applyProtection="1">
      <alignment horizontal="center" vertical="center"/>
      <protection locked="0"/>
    </xf>
    <xf numFmtId="3" fontId="4" fillId="3" borderId="17" xfId="0" applyNumberFormat="1" applyFont="1" applyFill="1" applyBorder="1" applyAlignment="1" applyProtection="1">
      <alignment horizontal="center" vertical="center"/>
      <protection locked="0"/>
    </xf>
    <xf numFmtId="3" fontId="4" fillId="3" borderId="17" xfId="0" applyNumberFormat="1" applyFont="1" applyFill="1" applyBorder="1" applyAlignment="1" applyProtection="1">
      <alignment horizontal="center" vertical="center" wrapText="1"/>
      <protection locked="0"/>
    </xf>
    <xf numFmtId="3" fontId="4" fillId="3" borderId="21" xfId="0" applyNumberFormat="1" applyFont="1" applyFill="1" applyBorder="1" applyAlignment="1" applyProtection="1">
      <alignment horizontal="center" vertical="center"/>
      <protection locked="0"/>
    </xf>
    <xf numFmtId="3" fontId="4" fillId="3" borderId="5" xfId="0" applyNumberFormat="1" applyFont="1" applyFill="1" applyBorder="1" applyAlignment="1" applyProtection="1">
      <alignment horizontal="center" vertical="center"/>
      <protection locked="0"/>
    </xf>
    <xf numFmtId="3" fontId="13" fillId="0" borderId="51" xfId="0" applyNumberFormat="1" applyFont="1" applyFill="1" applyBorder="1" applyAlignment="1" applyProtection="1">
      <alignment horizontal="center" vertical="center"/>
    </xf>
    <xf numFmtId="3" fontId="13" fillId="0" borderId="17" xfId="0" applyNumberFormat="1" applyFont="1" applyFill="1" applyBorder="1" applyAlignment="1" applyProtection="1">
      <alignment horizontal="center" vertical="center"/>
    </xf>
    <xf numFmtId="3" fontId="4" fillId="3" borderId="51" xfId="0" applyNumberFormat="1" applyFont="1" applyFill="1" applyBorder="1" applyAlignment="1" applyProtection="1">
      <alignment horizontal="center" vertical="center" wrapText="1"/>
      <protection locked="0"/>
    </xf>
    <xf numFmtId="3" fontId="4" fillId="3" borderId="21" xfId="0" applyNumberFormat="1" applyFont="1" applyFill="1" applyBorder="1" applyAlignment="1" applyProtection="1">
      <alignment horizontal="center" vertical="center" wrapText="1"/>
      <protection locked="0"/>
    </xf>
    <xf numFmtId="3" fontId="4" fillId="0" borderId="51" xfId="0" applyNumberFormat="1" applyFont="1" applyFill="1" applyBorder="1" applyAlignment="1" applyProtection="1">
      <alignment horizontal="center" vertical="center" wrapText="1"/>
    </xf>
    <xf numFmtId="3" fontId="4" fillId="0" borderId="17" xfId="0" applyNumberFormat="1" applyFont="1" applyFill="1" applyBorder="1" applyAlignment="1" applyProtection="1">
      <alignment horizontal="center" vertical="center" wrapText="1"/>
    </xf>
    <xf numFmtId="3" fontId="4" fillId="0" borderId="39" xfId="0" applyNumberFormat="1" applyFont="1" applyFill="1" applyBorder="1" applyAlignment="1" applyProtection="1">
      <alignment horizontal="center" vertical="center" wrapText="1"/>
    </xf>
    <xf numFmtId="172" fontId="4" fillId="3" borderId="17" xfId="0" applyNumberFormat="1" applyFont="1" applyFill="1" applyBorder="1" applyAlignment="1" applyProtection="1">
      <alignment horizontal="center" vertical="center" wrapText="1"/>
      <protection locked="0"/>
    </xf>
    <xf numFmtId="172" fontId="13" fillId="29" borderId="17" xfId="0" applyNumberFormat="1" applyFont="1" applyFill="1" applyBorder="1" applyAlignment="1" applyProtection="1">
      <alignment horizontal="center" vertical="center" wrapText="1"/>
    </xf>
    <xf numFmtId="3" fontId="4" fillId="29" borderId="51" xfId="0" applyNumberFormat="1" applyFont="1" applyFill="1" applyBorder="1" applyAlignment="1" applyProtection="1">
      <alignment horizontal="center" vertical="center" wrapText="1"/>
    </xf>
    <xf numFmtId="3" fontId="4" fillId="29" borderId="21" xfId="0" applyNumberFormat="1" applyFont="1" applyFill="1" applyBorder="1" applyAlignment="1" applyProtection="1">
      <alignment horizontal="center" vertical="center" wrapText="1"/>
    </xf>
    <xf numFmtId="3" fontId="4" fillId="0" borderId="51" xfId="1" applyNumberFormat="1" applyFont="1" applyFill="1" applyBorder="1" applyAlignment="1" applyProtection="1">
      <alignment horizontal="center" vertical="center"/>
    </xf>
    <xf numFmtId="3" fontId="4" fillId="0" borderId="17" xfId="1" applyNumberFormat="1" applyFont="1" applyFill="1" applyBorder="1" applyAlignment="1" applyProtection="1">
      <alignment horizontal="center" vertical="center"/>
    </xf>
    <xf numFmtId="3" fontId="4" fillId="0" borderId="21" xfId="0" applyNumberFormat="1" applyFont="1" applyFill="1" applyBorder="1" applyAlignment="1" applyProtection="1">
      <alignment horizontal="center" vertical="center" wrapText="1"/>
    </xf>
    <xf numFmtId="0" fontId="61" fillId="0" borderId="0" xfId="0" applyFont="1" applyAlignment="1">
      <alignment horizontal="center" vertical="center"/>
    </xf>
    <xf numFmtId="0" fontId="67" fillId="30" borderId="0" xfId="32" applyFont="1" applyFill="1" applyAlignment="1">
      <alignment horizontal="center" vertical="center"/>
    </xf>
    <xf numFmtId="0" fontId="67" fillId="30" borderId="0" xfId="32" applyNumberFormat="1" applyFont="1" applyFill="1" applyAlignment="1">
      <alignment horizontal="center" vertical="center"/>
    </xf>
    <xf numFmtId="49" fontId="67" fillId="30" borderId="0" xfId="32" applyNumberFormat="1" applyFont="1" applyFill="1" applyAlignment="1">
      <alignment horizontal="center" vertical="center"/>
    </xf>
    <xf numFmtId="0" fontId="69" fillId="30" borderId="0" xfId="32" applyNumberFormat="1" applyFont="1" applyFill="1" applyAlignment="1">
      <alignment horizontal="center" vertical="center"/>
    </xf>
    <xf numFmtId="0" fontId="41" fillId="30" borderId="0" xfId="0" applyFont="1" applyFill="1" applyAlignment="1">
      <alignment horizontal="center" vertical="center"/>
    </xf>
    <xf numFmtId="0" fontId="4" fillId="0" borderId="0" xfId="2" applyFont="1" applyBorder="1" applyAlignment="1" applyProtection="1">
      <alignment horizontal="center" vertical="center"/>
    </xf>
    <xf numFmtId="0" fontId="27" fillId="30" borderId="0" xfId="32" applyFont="1" applyFill="1" applyAlignment="1">
      <alignment horizontal="center" vertical="center"/>
    </xf>
    <xf numFmtId="0" fontId="67" fillId="30" borderId="29" xfId="0" applyNumberFormat="1" applyFont="1" applyFill="1" applyBorder="1" applyAlignment="1" applyProtection="1">
      <alignment horizontal="left" vertical="center"/>
    </xf>
    <xf numFmtId="49" fontId="26" fillId="30" borderId="22" xfId="0" applyNumberFormat="1" applyFont="1" applyFill="1" applyBorder="1" applyAlignment="1" applyProtection="1">
      <alignment horizontal="left" vertical="center"/>
    </xf>
    <xf numFmtId="49" fontId="26" fillId="30" borderId="14" xfId="0" applyNumberFormat="1" applyFont="1" applyFill="1" applyBorder="1" applyAlignment="1" applyProtection="1">
      <alignment horizontal="left" vertical="center"/>
    </xf>
    <xf numFmtId="49" fontId="67" fillId="30" borderId="25" xfId="0" applyNumberFormat="1" applyFont="1" applyFill="1" applyBorder="1" applyAlignment="1" applyProtection="1">
      <alignment horizontal="left" vertical="center"/>
    </xf>
    <xf numFmtId="49" fontId="26" fillId="30" borderId="33" xfId="0" applyNumberFormat="1" applyFont="1" applyFill="1" applyBorder="1" applyAlignment="1" applyProtection="1">
      <alignment horizontal="left" vertical="center"/>
    </xf>
    <xf numFmtId="49" fontId="26" fillId="30" borderId="6" xfId="0" applyNumberFormat="1" applyFont="1" applyFill="1" applyBorder="1" applyAlignment="1" applyProtection="1">
      <alignment horizontal="left" vertical="center"/>
    </xf>
    <xf numFmtId="49" fontId="26" fillId="30" borderId="24" xfId="0" applyNumberFormat="1" applyFont="1" applyFill="1" applyBorder="1" applyAlignment="1" applyProtection="1">
      <alignment horizontal="left" vertical="center"/>
    </xf>
    <xf numFmtId="49" fontId="26" fillId="30" borderId="23" xfId="0" applyNumberFormat="1" applyFont="1" applyFill="1" applyBorder="1" applyAlignment="1" applyProtection="1">
      <alignment horizontal="left" vertical="center"/>
    </xf>
    <xf numFmtId="49" fontId="26" fillId="30" borderId="15" xfId="0" applyNumberFormat="1" applyFont="1" applyFill="1" applyBorder="1" applyAlignment="1" applyProtection="1">
      <alignment horizontal="left" vertical="center"/>
    </xf>
    <xf numFmtId="3" fontId="34" fillId="3" borderId="17" xfId="49" applyNumberFormat="1" applyFont="1" applyFill="1" applyBorder="1" applyAlignment="1" applyProtection="1">
      <alignment horizontal="center" vertical="center" wrapText="1"/>
      <protection locked="0"/>
    </xf>
    <xf numFmtId="167" fontId="34" fillId="30" borderId="75" xfId="49" applyNumberFormat="1" applyFont="1" applyFill="1" applyBorder="1" applyAlignment="1" applyProtection="1">
      <alignment horizontal="center" vertical="center" wrapText="1"/>
    </xf>
    <xf numFmtId="167" fontId="34" fillId="30" borderId="73" xfId="49" applyNumberFormat="1" applyFont="1" applyFill="1" applyBorder="1" applyAlignment="1" applyProtection="1">
      <alignment horizontal="center" vertical="center" wrapText="1"/>
    </xf>
    <xf numFmtId="167" fontId="34" fillId="30" borderId="76" xfId="49" applyNumberFormat="1" applyFont="1" applyFill="1" applyBorder="1" applyAlignment="1" applyProtection="1">
      <alignment horizontal="center" vertical="center" wrapText="1"/>
    </xf>
    <xf numFmtId="167" fontId="34" fillId="30" borderId="52" xfId="49" applyNumberFormat="1" applyFont="1" applyFill="1" applyBorder="1" applyAlignment="1" applyProtection="1">
      <alignment horizontal="center" vertical="center" wrapText="1"/>
    </xf>
    <xf numFmtId="167" fontId="34" fillId="30" borderId="7" xfId="49" applyNumberFormat="1" applyFont="1" applyFill="1" applyBorder="1" applyAlignment="1" applyProtection="1">
      <alignment horizontal="center" vertical="center" wrapText="1"/>
    </xf>
    <xf numFmtId="167" fontId="34" fillId="30" borderId="53" xfId="49" applyNumberFormat="1" applyFont="1" applyFill="1" applyBorder="1" applyAlignment="1" applyProtection="1">
      <alignment horizontal="center" vertical="center" wrapText="1"/>
    </xf>
    <xf numFmtId="167" fontId="34" fillId="30" borderId="47" xfId="49" applyNumberFormat="1" applyFont="1" applyFill="1" applyBorder="1" applyAlignment="1" applyProtection="1">
      <alignment horizontal="center" vertical="center" wrapText="1"/>
    </xf>
    <xf numFmtId="167" fontId="34" fillId="30" borderId="71" xfId="49" applyNumberFormat="1" applyFont="1" applyFill="1" applyBorder="1" applyAlignment="1" applyProtection="1">
      <alignment horizontal="center" vertical="center" wrapText="1"/>
    </xf>
    <xf numFmtId="167" fontId="34" fillId="30" borderId="48" xfId="49" applyNumberFormat="1" applyFont="1" applyFill="1" applyBorder="1" applyAlignment="1" applyProtection="1">
      <alignment horizontal="center" vertical="center" wrapText="1"/>
    </xf>
    <xf numFmtId="167" fontId="33" fillId="26" borderId="38" xfId="49" applyNumberFormat="1" applyFont="1" applyFill="1" applyBorder="1" applyAlignment="1" applyProtection="1">
      <alignment horizontal="center" vertical="center" wrapText="1"/>
    </xf>
    <xf numFmtId="167" fontId="33" fillId="39" borderId="65" xfId="49" applyNumberFormat="1" applyFont="1" applyFill="1" applyBorder="1" applyAlignment="1" applyProtection="1">
      <alignment horizontal="center" vertical="center" wrapText="1"/>
    </xf>
    <xf numFmtId="167" fontId="33" fillId="39" borderId="9" xfId="49" applyNumberFormat="1" applyFont="1" applyFill="1" applyBorder="1" applyAlignment="1" applyProtection="1">
      <alignment horizontal="center" vertical="center" wrapText="1"/>
    </xf>
    <xf numFmtId="167" fontId="33" fillId="39" borderId="60" xfId="49" applyNumberFormat="1" applyFont="1" applyFill="1" applyBorder="1" applyAlignment="1" applyProtection="1">
      <alignment horizontal="center" vertical="center" wrapText="1"/>
    </xf>
    <xf numFmtId="167" fontId="4" fillId="30" borderId="0" xfId="49" applyNumberFormat="1" applyFont="1" applyFill="1" applyBorder="1" applyAlignment="1" applyProtection="1">
      <alignment horizontal="right" vertical="center" wrapText="1"/>
    </xf>
    <xf numFmtId="167" fontId="33" fillId="26" borderId="1" xfId="49" applyNumberFormat="1" applyFont="1" applyFill="1" applyBorder="1" applyAlignment="1" applyProtection="1">
      <alignment horizontal="center" vertical="center" wrapText="1"/>
    </xf>
    <xf numFmtId="167" fontId="34" fillId="29" borderId="24" xfId="49" applyNumberFormat="1" applyFont="1" applyFill="1" applyBorder="1" applyAlignment="1" applyProtection="1">
      <alignment horizontal="center" vertical="center" wrapText="1"/>
    </xf>
    <xf numFmtId="167" fontId="33" fillId="39" borderId="2" xfId="49" applyNumberFormat="1" applyFont="1" applyFill="1" applyBorder="1" applyAlignment="1" applyProtection="1">
      <alignment horizontal="center" vertical="center" wrapText="1"/>
    </xf>
    <xf numFmtId="167" fontId="4" fillId="30" borderId="0" xfId="49" applyNumberFormat="1" applyFont="1" applyFill="1" applyBorder="1" applyAlignment="1" applyProtection="1">
      <alignment horizontal="center" vertical="center" wrapText="1"/>
    </xf>
    <xf numFmtId="167" fontId="34" fillId="29" borderId="51" xfId="49" applyNumberFormat="1" applyFont="1" applyFill="1" applyBorder="1" applyAlignment="1" applyProtection="1">
      <alignment horizontal="center" vertical="center" wrapText="1"/>
    </xf>
    <xf numFmtId="167" fontId="34" fillId="30" borderId="72" xfId="49" applyNumberFormat="1" applyFont="1" applyFill="1" applyBorder="1" applyAlignment="1" applyProtection="1">
      <alignment horizontal="center" vertical="center" wrapText="1"/>
    </xf>
    <xf numFmtId="167" fontId="34" fillId="29" borderId="17" xfId="49" applyNumberFormat="1" applyFont="1" applyFill="1" applyBorder="1" applyAlignment="1" applyProtection="1">
      <alignment horizontal="center" vertical="center" wrapText="1"/>
    </xf>
    <xf numFmtId="167" fontId="34" fillId="30" borderId="32" xfId="49" applyNumberFormat="1" applyFont="1" applyFill="1" applyBorder="1" applyAlignment="1" applyProtection="1">
      <alignment horizontal="center" vertical="center" wrapText="1"/>
    </xf>
    <xf numFmtId="167" fontId="34" fillId="30" borderId="79" xfId="49" applyNumberFormat="1" applyFont="1" applyFill="1" applyBorder="1" applyAlignment="1" applyProtection="1">
      <alignment horizontal="center" vertical="center" wrapText="1"/>
    </xf>
    <xf numFmtId="167" fontId="34" fillId="30" borderId="77" xfId="49" applyNumberFormat="1" applyFont="1" applyFill="1" applyBorder="1" applyAlignment="1" applyProtection="1">
      <alignment horizontal="center" vertical="center" wrapText="1"/>
    </xf>
    <xf numFmtId="167" fontId="34" fillId="30" borderId="57" xfId="49" applyNumberFormat="1" applyFont="1" applyFill="1" applyBorder="1" applyAlignment="1" applyProtection="1">
      <alignment horizontal="center" vertical="center" wrapText="1"/>
    </xf>
    <xf numFmtId="167" fontId="34" fillId="30" borderId="56" xfId="49" applyNumberFormat="1" applyFont="1" applyFill="1" applyBorder="1" applyAlignment="1" applyProtection="1">
      <alignment horizontal="center" vertical="center" wrapText="1"/>
    </xf>
    <xf numFmtId="167" fontId="33" fillId="39" borderId="10" xfId="49" applyNumberFormat="1" applyFont="1" applyFill="1" applyBorder="1" applyAlignment="1" applyProtection="1">
      <alignment horizontal="center" vertical="center" wrapText="1"/>
    </xf>
    <xf numFmtId="3" fontId="33" fillId="26" borderId="38" xfId="49" applyNumberFormat="1" applyFont="1" applyFill="1" applyBorder="1" applyAlignment="1" applyProtection="1">
      <alignment horizontal="center" vertical="center" wrapText="1"/>
    </xf>
    <xf numFmtId="3" fontId="33" fillId="26" borderId="9" xfId="49" applyNumberFormat="1" applyFont="1" applyFill="1" applyBorder="1" applyAlignment="1" applyProtection="1">
      <alignment horizontal="center" vertical="center" wrapText="1"/>
    </xf>
    <xf numFmtId="3" fontId="33" fillId="26" borderId="8" xfId="49" applyNumberFormat="1" applyFont="1" applyFill="1" applyBorder="1" applyAlignment="1" applyProtection="1">
      <alignment horizontal="center" vertical="center" wrapText="1"/>
    </xf>
    <xf numFmtId="3" fontId="33" fillId="26" borderId="10" xfId="49" applyNumberFormat="1" applyFont="1" applyFill="1" applyBorder="1" applyAlignment="1" applyProtection="1">
      <alignment horizontal="center" vertical="center" wrapText="1"/>
    </xf>
    <xf numFmtId="3" fontId="34" fillId="0" borderId="75" xfId="49" applyNumberFormat="1" applyFont="1" applyFill="1" applyBorder="1" applyAlignment="1" applyProtection="1">
      <alignment horizontal="center" vertical="center" wrapText="1"/>
    </xf>
    <xf numFmtId="3" fontId="34" fillId="0" borderId="73" xfId="49" applyNumberFormat="1" applyFont="1" applyFill="1" applyBorder="1" applyAlignment="1" applyProtection="1">
      <alignment horizontal="center" vertical="center" wrapText="1"/>
    </xf>
    <xf numFmtId="3" fontId="34" fillId="0" borderId="76" xfId="49" applyNumberFormat="1" applyFont="1" applyFill="1" applyBorder="1" applyAlignment="1" applyProtection="1">
      <alignment horizontal="center" vertical="center" wrapText="1"/>
    </xf>
    <xf numFmtId="3" fontId="34" fillId="0" borderId="52" xfId="49" applyNumberFormat="1" applyFont="1" applyFill="1" applyBorder="1" applyAlignment="1" applyProtection="1">
      <alignment horizontal="center" vertical="center" wrapText="1"/>
    </xf>
    <xf numFmtId="3" fontId="34" fillId="0" borderId="7" xfId="49" applyNumberFormat="1" applyFont="1" applyFill="1" applyBorder="1" applyAlignment="1" applyProtection="1">
      <alignment horizontal="center" vertical="center" wrapText="1"/>
    </xf>
    <xf numFmtId="3" fontId="34" fillId="0" borderId="53" xfId="49" applyNumberFormat="1" applyFont="1" applyFill="1" applyBorder="1" applyAlignment="1" applyProtection="1">
      <alignment horizontal="center" vertical="center" wrapText="1"/>
    </xf>
    <xf numFmtId="3" fontId="34" fillId="0" borderId="56" xfId="49" applyNumberFormat="1" applyFont="1" applyFill="1" applyBorder="1" applyAlignment="1" applyProtection="1">
      <alignment horizontal="center" vertical="center" wrapText="1"/>
    </xf>
    <xf numFmtId="3" fontId="34" fillId="0" borderId="77" xfId="49" applyNumberFormat="1" applyFont="1" applyFill="1" applyBorder="1" applyAlignment="1" applyProtection="1">
      <alignment horizontal="center" vertical="center" wrapText="1"/>
    </xf>
    <xf numFmtId="3" fontId="34" fillId="0" borderId="57" xfId="49" applyNumberFormat="1" applyFont="1" applyFill="1" applyBorder="1" applyAlignment="1" applyProtection="1">
      <alignment horizontal="center" vertical="center" wrapText="1"/>
    </xf>
    <xf numFmtId="3" fontId="34" fillId="29" borderId="51" xfId="49" applyNumberFormat="1" applyFont="1" applyFill="1" applyBorder="1" applyAlignment="1" applyProtection="1">
      <alignment horizontal="center" vertical="center" wrapText="1"/>
    </xf>
    <xf numFmtId="3" fontId="34" fillId="29" borderId="25" xfId="49" applyNumberFormat="1" applyFont="1" applyFill="1" applyBorder="1" applyAlignment="1" applyProtection="1">
      <alignment horizontal="center" vertical="center" wrapText="1"/>
    </xf>
    <xf numFmtId="0" fontId="33" fillId="35" borderId="2" xfId="49" applyFont="1" applyFill="1" applyBorder="1" applyAlignment="1" applyProtection="1">
      <alignment horizontal="center" vertical="center" wrapText="1"/>
    </xf>
    <xf numFmtId="0" fontId="33" fillId="35" borderId="38" xfId="49" applyFont="1" applyFill="1" applyBorder="1" applyAlignment="1" applyProtection="1">
      <alignment horizontal="left" vertical="center" wrapText="1"/>
    </xf>
    <xf numFmtId="0" fontId="33" fillId="35" borderId="9" xfId="49" applyFont="1" applyFill="1" applyBorder="1" applyAlignment="1" applyProtection="1">
      <alignment horizontal="left" vertical="center" wrapText="1"/>
    </xf>
    <xf numFmtId="0" fontId="33" fillId="35" borderId="10" xfId="49" applyFont="1" applyFill="1" applyBorder="1" applyAlignment="1" applyProtection="1">
      <alignment horizontal="left" vertical="center" wrapText="1"/>
    </xf>
    <xf numFmtId="3" fontId="33" fillId="35" borderId="38" xfId="49" applyNumberFormat="1" applyFont="1" applyFill="1" applyBorder="1" applyAlignment="1" applyProtection="1">
      <alignment horizontal="left" vertical="center" wrapText="1"/>
    </xf>
    <xf numFmtId="3" fontId="33" fillId="35" borderId="9" xfId="49" applyNumberFormat="1" applyFont="1" applyFill="1" applyBorder="1" applyAlignment="1" applyProtection="1">
      <alignment horizontal="left" vertical="center" wrapText="1"/>
    </xf>
    <xf numFmtId="3" fontId="33" fillId="35" borderId="10" xfId="49" applyNumberFormat="1" applyFont="1" applyFill="1" applyBorder="1" applyAlignment="1" applyProtection="1">
      <alignment horizontal="left" vertical="center" wrapText="1"/>
    </xf>
    <xf numFmtId="170" fontId="34" fillId="40" borderId="36" xfId="49" applyNumberFormat="1" applyFont="1" applyFill="1" applyBorder="1" applyAlignment="1" applyProtection="1">
      <alignment horizontal="center" wrapText="1"/>
    </xf>
    <xf numFmtId="170" fontId="34" fillId="40" borderId="18" xfId="49" applyNumberFormat="1" applyFont="1" applyFill="1" applyBorder="1" applyAlignment="1" applyProtection="1">
      <alignment horizontal="center" wrapText="1"/>
    </xf>
    <xf numFmtId="168" fontId="123" fillId="29" borderId="42" xfId="49" applyNumberFormat="1" applyFont="1" applyFill="1" applyBorder="1" applyAlignment="1" applyProtection="1">
      <alignment horizontal="center" vertical="center" wrapText="1"/>
      <protection locked="0"/>
    </xf>
    <xf numFmtId="168" fontId="123" fillId="29" borderId="43" xfId="49" applyNumberFormat="1" applyFont="1" applyFill="1" applyBorder="1" applyAlignment="1" applyProtection="1">
      <alignment horizontal="center" vertical="center" wrapText="1"/>
      <protection locked="0"/>
    </xf>
    <xf numFmtId="168" fontId="35" fillId="0" borderId="24" xfId="49" applyNumberFormat="1" applyFont="1" applyFill="1" applyBorder="1" applyAlignment="1" applyProtection="1">
      <alignment horizontal="center" vertical="center" wrapText="1"/>
    </xf>
    <xf numFmtId="0" fontId="45" fillId="30" borderId="0" xfId="49" applyFont="1" applyFill="1" applyProtection="1"/>
    <xf numFmtId="0" fontId="45" fillId="30" borderId="27" xfId="49" applyFont="1" applyFill="1" applyBorder="1" applyAlignment="1" applyProtection="1">
      <alignment horizontal="center"/>
    </xf>
    <xf numFmtId="0" fontId="45" fillId="30" borderId="0" xfId="49" applyFont="1" applyFill="1" applyBorder="1" applyAlignment="1" applyProtection="1">
      <alignment horizontal="center"/>
    </xf>
    <xf numFmtId="0" fontId="45" fillId="30" borderId="16" xfId="49" applyFont="1" applyFill="1" applyBorder="1" applyAlignment="1" applyProtection="1">
      <alignment horizontal="center"/>
    </xf>
    <xf numFmtId="0" fontId="11" fillId="30" borderId="0" xfId="49" applyFont="1" applyFill="1" applyAlignment="1" applyProtection="1">
      <alignment horizontal="center"/>
    </xf>
    <xf numFmtId="0" fontId="45" fillId="30" borderId="0" xfId="49" applyFont="1" applyFill="1" applyAlignment="1" applyProtection="1">
      <alignment horizontal="center"/>
    </xf>
    <xf numFmtId="170" fontId="33" fillId="40" borderId="56" xfId="49" applyNumberFormat="1" applyFont="1" applyFill="1" applyBorder="1" applyAlignment="1" applyProtection="1">
      <alignment horizontal="center"/>
    </xf>
    <xf numFmtId="170" fontId="33" fillId="40" borderId="77" xfId="49" applyNumberFormat="1" applyFont="1" applyFill="1" applyBorder="1" applyAlignment="1" applyProtection="1">
      <alignment horizontal="center"/>
    </xf>
    <xf numFmtId="170" fontId="33" fillId="40" borderId="57" xfId="49" applyNumberFormat="1" applyFont="1" applyFill="1" applyBorder="1" applyAlignment="1" applyProtection="1">
      <alignment horizontal="center"/>
    </xf>
    <xf numFmtId="170" fontId="33" fillId="40" borderId="79" xfId="49" applyNumberFormat="1" applyFont="1" applyFill="1" applyBorder="1" applyAlignment="1" applyProtection="1">
      <alignment horizontal="center"/>
    </xf>
    <xf numFmtId="0" fontId="34" fillId="29" borderId="29" xfId="49" applyFont="1" applyFill="1" applyBorder="1" applyAlignment="1" applyProtection="1">
      <alignment wrapText="1"/>
    </xf>
    <xf numFmtId="168" fontId="34" fillId="29" borderId="75" xfId="49" applyNumberFormat="1" applyFont="1" applyFill="1" applyBorder="1" applyAlignment="1" applyProtection="1">
      <alignment horizontal="center" vertical="center"/>
    </xf>
    <xf numFmtId="168" fontId="34" fillId="30" borderId="73" xfId="49" applyNumberFormat="1" applyFont="1" applyFill="1" applyBorder="1" applyAlignment="1" applyProtection="1">
      <alignment horizontal="center" vertical="center"/>
    </xf>
    <xf numFmtId="168" fontId="34" fillId="30" borderId="76" xfId="49" applyNumberFormat="1" applyFont="1" applyFill="1" applyBorder="1" applyAlignment="1" applyProtection="1">
      <alignment horizontal="center" vertical="center"/>
    </xf>
    <xf numFmtId="168" fontId="34" fillId="30" borderId="72" xfId="49" applyNumberFormat="1" applyFont="1" applyFill="1" applyBorder="1" applyAlignment="1" applyProtection="1">
      <alignment horizontal="center" vertical="center"/>
    </xf>
    <xf numFmtId="168" fontId="34" fillId="30" borderId="75" xfId="49" applyNumberFormat="1" applyFont="1" applyFill="1" applyBorder="1" applyAlignment="1" applyProtection="1">
      <alignment horizontal="center" vertical="center"/>
    </xf>
    <xf numFmtId="0" fontId="34" fillId="29" borderId="24" xfId="49" applyFont="1" applyFill="1" applyBorder="1" applyProtection="1"/>
    <xf numFmtId="168" fontId="34" fillId="29" borderId="52" xfId="49" applyNumberFormat="1" applyFont="1" applyFill="1" applyBorder="1" applyAlignment="1" applyProtection="1">
      <alignment horizontal="center" vertical="center"/>
    </xf>
    <xf numFmtId="168" fontId="34" fillId="30" borderId="7" xfId="49" applyNumberFormat="1" applyFont="1" applyFill="1" applyBorder="1" applyAlignment="1" applyProtection="1">
      <alignment horizontal="center" vertical="center"/>
    </xf>
    <xf numFmtId="168" fontId="34" fillId="30" borderId="53" xfId="49" applyNumberFormat="1" applyFont="1" applyFill="1" applyBorder="1" applyAlignment="1" applyProtection="1">
      <alignment horizontal="center" vertical="center"/>
    </xf>
    <xf numFmtId="168" fontId="34" fillId="30" borderId="32" xfId="49" applyNumberFormat="1" applyFont="1" applyFill="1" applyBorder="1" applyAlignment="1" applyProtection="1">
      <alignment horizontal="center" vertical="center"/>
    </xf>
    <xf numFmtId="168" fontId="34" fillId="30" borderId="52" xfId="49" applyNumberFormat="1" applyFont="1" applyFill="1" applyBorder="1" applyAlignment="1" applyProtection="1">
      <alignment horizontal="center" vertical="center"/>
    </xf>
    <xf numFmtId="0" fontId="34" fillId="30" borderId="30" xfId="49" applyFont="1" applyFill="1" applyBorder="1" applyProtection="1"/>
    <xf numFmtId="168" fontId="34" fillId="30" borderId="56" xfId="49" applyNumberFormat="1" applyFont="1" applyFill="1" applyBorder="1" applyAlignment="1" applyProtection="1">
      <alignment horizontal="center" vertical="center"/>
    </xf>
    <xf numFmtId="168" fontId="34" fillId="30" borderId="77" xfId="49" applyNumberFormat="1" applyFont="1" applyFill="1" applyBorder="1" applyAlignment="1" applyProtection="1">
      <alignment horizontal="center" vertical="center"/>
    </xf>
    <xf numFmtId="168" fontId="34" fillId="30" borderId="57" xfId="49" applyNumberFormat="1" applyFont="1" applyFill="1" applyBorder="1" applyAlignment="1" applyProtection="1">
      <alignment horizontal="center" vertical="center"/>
    </xf>
    <xf numFmtId="168" fontId="34" fillId="30" borderId="79" xfId="49" applyNumberFormat="1" applyFont="1" applyFill="1" applyBorder="1" applyAlignment="1" applyProtection="1">
      <alignment horizontal="center" vertical="center"/>
    </xf>
    <xf numFmtId="0" fontId="34" fillId="40" borderId="1" xfId="49" applyFont="1" applyFill="1" applyBorder="1" applyProtection="1"/>
    <xf numFmtId="0" fontId="34" fillId="40" borderId="38" xfId="49" applyFont="1" applyFill="1" applyBorder="1" applyAlignment="1" applyProtection="1">
      <alignment horizontal="center" vertical="center"/>
    </xf>
    <xf numFmtId="0" fontId="34" fillId="40" borderId="9" xfId="49" applyFont="1" applyFill="1" applyBorder="1" applyAlignment="1" applyProtection="1">
      <alignment horizontal="center" vertical="center"/>
    </xf>
    <xf numFmtId="0" fontId="34" fillId="40" borderId="10" xfId="49" applyFont="1" applyFill="1" applyBorder="1" applyAlignment="1" applyProtection="1">
      <alignment horizontal="center" vertical="center"/>
    </xf>
    <xf numFmtId="0" fontId="33" fillId="40" borderId="65" xfId="49" applyFont="1" applyFill="1" applyBorder="1" applyAlignment="1" applyProtection="1">
      <alignment horizontal="center" vertical="center"/>
    </xf>
    <xf numFmtId="0" fontId="33" fillId="40" borderId="9" xfId="49" applyFont="1" applyFill="1" applyBorder="1" applyAlignment="1" applyProtection="1">
      <alignment horizontal="center" vertical="center"/>
    </xf>
    <xf numFmtId="0" fontId="33" fillId="40" borderId="10" xfId="49" applyFont="1" applyFill="1" applyBorder="1" applyAlignment="1" applyProtection="1">
      <alignment horizontal="center" vertical="center"/>
    </xf>
    <xf numFmtId="0" fontId="33" fillId="40" borderId="38" xfId="49" applyFont="1" applyFill="1" applyBorder="1" applyAlignment="1" applyProtection="1">
      <alignment horizontal="center" vertical="center"/>
    </xf>
    <xf numFmtId="0" fontId="34" fillId="30" borderId="29" xfId="49" applyFont="1" applyFill="1" applyBorder="1" applyProtection="1"/>
    <xf numFmtId="3" fontId="34" fillId="30" borderId="75" xfId="49" applyNumberFormat="1" applyFont="1" applyFill="1" applyBorder="1" applyAlignment="1" applyProtection="1">
      <alignment horizontal="center" vertical="center"/>
    </xf>
    <xf numFmtId="3" fontId="34" fillId="30" borderId="73" xfId="49" applyNumberFormat="1" applyFont="1" applyFill="1" applyBorder="1" applyAlignment="1" applyProtection="1">
      <alignment horizontal="center" vertical="center"/>
    </xf>
    <xf numFmtId="3" fontId="34" fillId="30" borderId="76" xfId="49" applyNumberFormat="1" applyFont="1" applyFill="1" applyBorder="1" applyAlignment="1" applyProtection="1">
      <alignment horizontal="center" vertical="center"/>
    </xf>
    <xf numFmtId="3" fontId="34" fillId="32" borderId="72" xfId="49" applyNumberFormat="1" applyFont="1" applyFill="1" applyBorder="1" applyAlignment="1" applyProtection="1">
      <alignment horizontal="center" vertical="center"/>
    </xf>
    <xf numFmtId="3" fontId="34" fillId="32" borderId="73" xfId="49" applyNumberFormat="1" applyFont="1" applyFill="1" applyBorder="1" applyAlignment="1" applyProtection="1">
      <alignment horizontal="center" vertical="center"/>
    </xf>
    <xf numFmtId="3" fontId="34" fillId="32" borderId="76" xfId="49" applyNumberFormat="1" applyFont="1" applyFill="1" applyBorder="1" applyAlignment="1" applyProtection="1">
      <alignment horizontal="center" vertical="center"/>
    </xf>
    <xf numFmtId="3" fontId="34" fillId="32" borderId="75" xfId="49" applyNumberFormat="1" applyFont="1" applyFill="1" applyBorder="1" applyAlignment="1" applyProtection="1">
      <alignment horizontal="center" vertical="center"/>
    </xf>
    <xf numFmtId="0" fontId="34" fillId="30" borderId="24" xfId="49" applyFont="1" applyFill="1" applyBorder="1" applyProtection="1"/>
    <xf numFmtId="0" fontId="125" fillId="30" borderId="52" xfId="49" applyFont="1" applyFill="1" applyBorder="1" applyAlignment="1" applyProtection="1">
      <alignment horizontal="center" vertical="center"/>
    </xf>
    <xf numFmtId="0" fontId="125" fillId="30" borderId="7" xfId="49" applyFont="1" applyFill="1" applyBorder="1" applyAlignment="1" applyProtection="1">
      <alignment horizontal="center" vertical="center"/>
    </xf>
    <xf numFmtId="3" fontId="34" fillId="32" borderId="7" xfId="49" applyNumberFormat="1" applyFont="1" applyFill="1" applyBorder="1" applyAlignment="1" applyProtection="1">
      <alignment horizontal="center" vertical="center"/>
    </xf>
    <xf numFmtId="3" fontId="34" fillId="32" borderId="53" xfId="49" applyNumberFormat="1" applyFont="1" applyFill="1" applyBorder="1" applyAlignment="1" applyProtection="1">
      <alignment horizontal="center" vertical="center"/>
    </xf>
    <xf numFmtId="3" fontId="34" fillId="30" borderId="32" xfId="49" applyNumberFormat="1" applyFont="1" applyFill="1" applyBorder="1" applyAlignment="1" applyProtection="1">
      <alignment horizontal="center" vertical="center"/>
    </xf>
    <xf numFmtId="3" fontId="34" fillId="30" borderId="7" xfId="49" applyNumberFormat="1" applyFont="1" applyFill="1" applyBorder="1" applyAlignment="1" applyProtection="1">
      <alignment horizontal="center" vertical="center"/>
    </xf>
    <xf numFmtId="3" fontId="34" fillId="30" borderId="53" xfId="49" applyNumberFormat="1" applyFont="1" applyFill="1" applyBorder="1" applyAlignment="1" applyProtection="1">
      <alignment horizontal="center" vertical="center"/>
    </xf>
    <xf numFmtId="3" fontId="34" fillId="32" borderId="52" xfId="49" applyNumberFormat="1" applyFont="1" applyFill="1" applyBorder="1" applyAlignment="1" applyProtection="1">
      <alignment horizontal="center" vertical="center"/>
    </xf>
    <xf numFmtId="3" fontId="34" fillId="30" borderId="52" xfId="49" applyNumberFormat="1" applyFont="1" applyFill="1" applyBorder="1" applyAlignment="1" applyProtection="1">
      <alignment horizontal="center" vertical="center"/>
    </xf>
    <xf numFmtId="3" fontId="34" fillId="32" borderId="32" xfId="49" applyNumberFormat="1" applyFont="1" applyFill="1" applyBorder="1" applyAlignment="1" applyProtection="1">
      <alignment horizontal="center" vertical="center"/>
    </xf>
    <xf numFmtId="3" fontId="34" fillId="32" borderId="57" xfId="49" applyNumberFormat="1" applyFont="1" applyFill="1" applyBorder="1" applyAlignment="1" applyProtection="1">
      <alignment horizontal="right"/>
    </xf>
    <xf numFmtId="3" fontId="34" fillId="32" borderId="79" xfId="49" applyNumberFormat="1" applyFont="1" applyFill="1" applyBorder="1" applyAlignment="1" applyProtection="1">
      <alignment horizontal="right"/>
    </xf>
    <xf numFmtId="3" fontId="34" fillId="30" borderId="56" xfId="49" applyNumberFormat="1" applyFont="1" applyFill="1" applyBorder="1" applyAlignment="1" applyProtection="1">
      <alignment horizontal="center"/>
    </xf>
    <xf numFmtId="3" fontId="34" fillId="30" borderId="77" xfId="49" applyNumberFormat="1" applyFont="1" applyFill="1" applyBorder="1" applyAlignment="1" applyProtection="1">
      <alignment horizontal="center"/>
    </xf>
    <xf numFmtId="3" fontId="34" fillId="30" borderId="57" xfId="49" applyNumberFormat="1" applyFont="1" applyFill="1" applyBorder="1" applyAlignment="1" applyProtection="1">
      <alignment horizontal="center"/>
    </xf>
    <xf numFmtId="0" fontId="45" fillId="40" borderId="1" xfId="49" applyFont="1" applyFill="1" applyBorder="1" applyProtection="1"/>
    <xf numFmtId="3" fontId="45" fillId="40" borderId="38" xfId="49" applyNumberFormat="1" applyFont="1" applyFill="1" applyBorder="1" applyAlignment="1" applyProtection="1">
      <alignment horizontal="center"/>
    </xf>
    <xf numFmtId="3" fontId="45" fillId="40" borderId="9" xfId="49" applyNumberFormat="1" applyFont="1" applyFill="1" applyBorder="1" applyAlignment="1" applyProtection="1">
      <alignment horizontal="center"/>
    </xf>
    <xf numFmtId="3" fontId="45" fillId="40" borderId="10" xfId="49" applyNumberFormat="1" applyFont="1" applyFill="1" applyBorder="1" applyAlignment="1" applyProtection="1">
      <alignment horizontal="center"/>
    </xf>
    <xf numFmtId="0" fontId="11" fillId="40" borderId="65" xfId="49" applyFont="1" applyFill="1" applyBorder="1" applyAlignment="1" applyProtection="1">
      <alignment horizontal="center"/>
    </xf>
    <xf numFmtId="0" fontId="11" fillId="40" borderId="9" xfId="49" applyFont="1" applyFill="1" applyBorder="1" applyAlignment="1" applyProtection="1">
      <alignment horizontal="center"/>
    </xf>
    <xf numFmtId="0" fontId="11" fillId="40" borderId="10" xfId="49" applyFont="1" applyFill="1" applyBorder="1" applyAlignment="1" applyProtection="1">
      <alignment horizontal="center"/>
    </xf>
    <xf numFmtId="0" fontId="11" fillId="40" borderId="38" xfId="49" applyFont="1" applyFill="1" applyBorder="1" applyAlignment="1" applyProtection="1">
      <alignment horizontal="center"/>
    </xf>
    <xf numFmtId="0" fontId="45" fillId="40" borderId="10" xfId="49" applyFont="1" applyFill="1" applyBorder="1" applyAlignment="1" applyProtection="1">
      <alignment horizontal="center"/>
    </xf>
    <xf numFmtId="0" fontId="34" fillId="30" borderId="29" xfId="49" applyFont="1" applyFill="1" applyBorder="1" applyAlignment="1" applyProtection="1">
      <alignment wrapText="1"/>
    </xf>
    <xf numFmtId="4" fontId="33" fillId="30" borderId="75" xfId="49" applyNumberFormat="1" applyFont="1" applyFill="1" applyBorder="1" applyAlignment="1" applyProtection="1">
      <alignment horizontal="center" vertical="center"/>
    </xf>
    <xf numFmtId="4" fontId="33" fillId="30" borderId="73" xfId="49" applyNumberFormat="1" applyFont="1" applyFill="1" applyBorder="1" applyAlignment="1" applyProtection="1">
      <alignment horizontal="center" vertical="center"/>
    </xf>
    <xf numFmtId="4" fontId="33" fillId="30" borderId="76" xfId="49" applyNumberFormat="1" applyFont="1" applyFill="1" applyBorder="1" applyAlignment="1" applyProtection="1">
      <alignment horizontal="center" vertical="center"/>
    </xf>
    <xf numFmtId="4" fontId="33" fillId="30" borderId="72" xfId="49" applyNumberFormat="1" applyFont="1" applyFill="1" applyBorder="1" applyAlignment="1" applyProtection="1">
      <alignment horizontal="center" vertical="center"/>
    </xf>
    <xf numFmtId="0" fontId="34" fillId="30" borderId="24" xfId="49" applyFont="1" applyFill="1" applyBorder="1" applyAlignment="1" applyProtection="1">
      <alignment wrapText="1"/>
    </xf>
    <xf numFmtId="4" fontId="33" fillId="30" borderId="52" xfId="49" applyNumberFormat="1" applyFont="1" applyFill="1" applyBorder="1" applyAlignment="1" applyProtection="1">
      <alignment horizontal="center" vertical="center"/>
    </xf>
    <xf numFmtId="4" fontId="33" fillId="30" borderId="7" xfId="49" applyNumberFormat="1" applyFont="1" applyFill="1" applyBorder="1" applyAlignment="1" applyProtection="1">
      <alignment horizontal="center" vertical="center"/>
    </xf>
    <xf numFmtId="4" fontId="33" fillId="30" borderId="53" xfId="49" applyNumberFormat="1" applyFont="1" applyFill="1" applyBorder="1" applyAlignment="1" applyProtection="1">
      <alignment horizontal="center" vertical="center"/>
    </xf>
    <xf numFmtId="4" fontId="33" fillId="30" borderId="32" xfId="49" applyNumberFormat="1" applyFont="1" applyFill="1" applyBorder="1" applyAlignment="1" applyProtection="1">
      <alignment horizontal="center" vertical="center"/>
    </xf>
    <xf numFmtId="0" fontId="34" fillId="30" borderId="30" xfId="49" applyFont="1" applyFill="1" applyBorder="1" applyAlignment="1" applyProtection="1">
      <alignment wrapText="1"/>
    </xf>
    <xf numFmtId="4" fontId="33" fillId="30" borderId="56" xfId="49" applyNumberFormat="1" applyFont="1" applyFill="1" applyBorder="1" applyAlignment="1" applyProtection="1">
      <alignment horizontal="center" vertical="center"/>
    </xf>
    <xf numFmtId="4" fontId="33" fillId="30" borderId="77" xfId="49" applyNumberFormat="1" applyFont="1" applyFill="1" applyBorder="1" applyAlignment="1" applyProtection="1">
      <alignment horizontal="center" vertical="center"/>
    </xf>
    <xf numFmtId="4" fontId="33" fillId="30" borderId="57" xfId="49" applyNumberFormat="1" applyFont="1" applyFill="1" applyBorder="1" applyAlignment="1" applyProtection="1">
      <alignment horizontal="center" vertical="center"/>
    </xf>
    <xf numFmtId="4" fontId="33" fillId="30" borderId="79" xfId="49" applyNumberFormat="1" applyFont="1" applyFill="1" applyBorder="1" applyAlignment="1" applyProtection="1">
      <alignment horizontal="center" vertical="center"/>
    </xf>
    <xf numFmtId="168" fontId="34" fillId="0" borderId="32" xfId="49" applyNumberFormat="1" applyFont="1" applyFill="1" applyBorder="1" applyAlignment="1" applyProtection="1">
      <alignment horizontal="center" vertical="center" wrapText="1"/>
    </xf>
    <xf numFmtId="168" fontId="34" fillId="0" borderId="7" xfId="49" applyNumberFormat="1" applyFont="1" applyFill="1" applyBorder="1" applyAlignment="1" applyProtection="1">
      <alignment horizontal="center" vertical="center" wrapText="1"/>
    </xf>
    <xf numFmtId="168" fontId="34" fillId="0" borderId="53" xfId="49" applyNumberFormat="1" applyFont="1" applyFill="1" applyBorder="1" applyAlignment="1" applyProtection="1">
      <alignment horizontal="center" vertical="center" wrapText="1"/>
    </xf>
    <xf numFmtId="0" fontId="61" fillId="40" borderId="2" xfId="52" applyFont="1" applyFill="1" applyBorder="1" applyAlignment="1" applyProtection="1">
      <alignment horizontal="center" vertical="center"/>
    </xf>
    <xf numFmtId="0" fontId="61" fillId="40" borderId="65" xfId="52" applyFont="1" applyFill="1" applyBorder="1" applyAlignment="1" applyProtection="1">
      <alignment horizontal="center" vertical="center"/>
    </xf>
    <xf numFmtId="0" fontId="61" fillId="25" borderId="35" xfId="52" applyFont="1" applyFill="1" applyBorder="1" applyAlignment="1" applyProtection="1">
      <alignment horizontal="left" vertical="center" indent="1"/>
    </xf>
    <xf numFmtId="0" fontId="61" fillId="25" borderId="11" xfId="52" applyFont="1" applyFill="1" applyBorder="1" applyAlignment="1" applyProtection="1">
      <alignment horizontal="center" vertical="center"/>
    </xf>
    <xf numFmtId="0" fontId="52" fillId="34" borderId="51" xfId="52" applyFont="1" applyFill="1" applyBorder="1" applyAlignment="1" applyProtection="1">
      <alignment horizontal="center" vertical="center" wrapText="1"/>
    </xf>
    <xf numFmtId="0" fontId="34" fillId="29" borderId="24" xfId="0" applyFont="1" applyFill="1" applyBorder="1" applyAlignment="1" applyProtection="1">
      <alignment vertical="center" wrapText="1"/>
    </xf>
    <xf numFmtId="0" fontId="52" fillId="21" borderId="17" xfId="52" applyFont="1" applyFill="1" applyBorder="1" applyAlignment="1" applyProtection="1">
      <alignment horizontal="center" vertical="center" wrapText="1"/>
    </xf>
    <xf numFmtId="0" fontId="52" fillId="34" borderId="5" xfId="52" applyFont="1" applyFill="1" applyBorder="1" applyAlignment="1" applyProtection="1">
      <alignment horizontal="center" vertical="center" wrapText="1"/>
    </xf>
    <xf numFmtId="0" fontId="52" fillId="34" borderId="39" xfId="52" applyFont="1" applyFill="1" applyBorder="1" applyAlignment="1" applyProtection="1">
      <alignment horizontal="center" vertical="center" wrapText="1"/>
    </xf>
    <xf numFmtId="0" fontId="52" fillId="21" borderId="51" xfId="52" applyFont="1" applyFill="1" applyBorder="1" applyAlignment="1" applyProtection="1">
      <alignment horizontal="center" vertical="center" wrapText="1"/>
    </xf>
    <xf numFmtId="0" fontId="52" fillId="30" borderId="17" xfId="52" applyFont="1" applyFill="1" applyBorder="1" applyAlignment="1" applyProtection="1">
      <alignment wrapText="1"/>
    </xf>
    <xf numFmtId="0" fontId="90" fillId="30" borderId="17" xfId="52" applyFont="1" applyFill="1" applyBorder="1" applyProtection="1"/>
    <xf numFmtId="0" fontId="52" fillId="21" borderId="21" xfId="52" applyFont="1" applyFill="1" applyBorder="1" applyAlignment="1" applyProtection="1">
      <alignment horizontal="center" vertical="center" wrapText="1"/>
    </xf>
    <xf numFmtId="0" fontId="52" fillId="21" borderId="5" xfId="52" applyFont="1" applyFill="1" applyBorder="1" applyAlignment="1" applyProtection="1">
      <alignment horizontal="center" vertical="center" wrapText="1"/>
    </xf>
    <xf numFmtId="0" fontId="52" fillId="34" borderId="17" xfId="52" applyFont="1" applyFill="1" applyBorder="1" applyAlignment="1" applyProtection="1">
      <alignment horizontal="center" vertical="center" wrapText="1"/>
    </xf>
    <xf numFmtId="0" fontId="52" fillId="34" borderId="21" xfId="52" applyFont="1" applyFill="1" applyBorder="1" applyAlignment="1" applyProtection="1">
      <alignment horizontal="center" vertical="center" wrapText="1"/>
    </xf>
    <xf numFmtId="0" fontId="52" fillId="25" borderId="8" xfId="52" applyFont="1" applyFill="1" applyBorder="1" applyAlignment="1" applyProtection="1">
      <alignment horizontal="center" vertical="center" wrapText="1"/>
    </xf>
    <xf numFmtId="0" fontId="52" fillId="30" borderId="51" xfId="52" applyFont="1" applyFill="1" applyBorder="1" applyAlignment="1" applyProtection="1">
      <alignment horizontal="left" vertical="center" wrapText="1" indent="1"/>
    </xf>
    <xf numFmtId="0" fontId="89" fillId="30" borderId="17" xfId="52" applyFont="1" applyFill="1" applyBorder="1" applyAlignment="1" applyProtection="1">
      <alignment horizontal="left" indent="2"/>
    </xf>
    <xf numFmtId="0" fontId="52" fillId="30" borderId="17" xfId="52" applyFont="1" applyFill="1" applyBorder="1" applyAlignment="1" applyProtection="1">
      <alignment horizontal="left" vertical="center" wrapText="1" indent="1"/>
    </xf>
    <xf numFmtId="0" fontId="52" fillId="30" borderId="17" xfId="52" applyFont="1" applyFill="1" applyBorder="1" applyAlignment="1" applyProtection="1">
      <alignment horizontal="right"/>
    </xf>
    <xf numFmtId="0" fontId="52" fillId="30" borderId="21" xfId="52" applyFont="1" applyFill="1" applyBorder="1" applyAlignment="1" applyProtection="1">
      <alignment horizontal="right"/>
    </xf>
    <xf numFmtId="0" fontId="61" fillId="25" borderId="2" xfId="52" applyFont="1" applyFill="1" applyBorder="1" applyAlignment="1" applyProtection="1">
      <alignment horizontal="left" indent="1"/>
    </xf>
    <xf numFmtId="49" fontId="52" fillId="30" borderId="17" xfId="52" applyNumberFormat="1" applyFont="1" applyFill="1" applyBorder="1" applyProtection="1"/>
    <xf numFmtId="3" fontId="33" fillId="30" borderId="72" xfId="49" applyNumberFormat="1" applyFont="1" applyFill="1" applyBorder="1" applyAlignment="1">
      <alignment horizontal="center" vertical="center" wrapText="1"/>
    </xf>
    <xf numFmtId="3" fontId="33" fillId="0" borderId="72" xfId="49" applyNumberFormat="1" applyFont="1" applyFill="1" applyBorder="1" applyAlignment="1">
      <alignment horizontal="center" vertical="center" wrapText="1"/>
    </xf>
    <xf numFmtId="3" fontId="34" fillId="0" borderId="32" xfId="49" applyNumberFormat="1" applyFont="1" applyFill="1" applyBorder="1" applyAlignment="1">
      <alignment horizontal="center" vertical="center" wrapText="1"/>
    </xf>
    <xf numFmtId="3" fontId="35" fillId="30" borderId="32" xfId="49" applyNumberFormat="1" applyFont="1" applyFill="1" applyBorder="1" applyAlignment="1">
      <alignment horizontal="center" vertical="center" wrapText="1"/>
    </xf>
    <xf numFmtId="0" fontId="33" fillId="0" borderId="5" xfId="49" applyFont="1" applyFill="1" applyBorder="1" applyAlignment="1">
      <alignment horizontal="center" vertical="center" wrapText="1"/>
    </xf>
    <xf numFmtId="4" fontId="33" fillId="21" borderId="17" xfId="0" applyNumberFormat="1" applyFont="1" applyFill="1" applyBorder="1" applyAlignment="1" applyProtection="1">
      <alignment horizontal="center" vertical="center"/>
    </xf>
    <xf numFmtId="4" fontId="34" fillId="0" borderId="17" xfId="0" applyNumberFormat="1" applyFont="1" applyFill="1" applyBorder="1" applyAlignment="1" applyProtection="1">
      <alignment horizontal="center" vertical="center"/>
    </xf>
    <xf numFmtId="4" fontId="34" fillId="21" borderId="17" xfId="0" applyNumberFormat="1" applyFont="1" applyFill="1" applyBorder="1" applyAlignment="1" applyProtection="1">
      <alignment horizontal="center" vertical="center"/>
    </xf>
    <xf numFmtId="10" fontId="34" fillId="0" borderId="39" xfId="1" applyNumberFormat="1" applyFont="1" applyFill="1" applyBorder="1" applyAlignment="1" applyProtection="1">
      <alignment horizontal="center" vertical="center"/>
    </xf>
    <xf numFmtId="4" fontId="34" fillId="21" borderId="39" xfId="0" applyNumberFormat="1" applyFont="1" applyFill="1" applyBorder="1" applyAlignment="1" applyProtection="1">
      <alignment horizontal="center" vertical="center"/>
    </xf>
    <xf numFmtId="4" fontId="33" fillId="22" borderId="2" xfId="0" applyNumberFormat="1" applyFont="1" applyFill="1" applyBorder="1" applyAlignment="1" applyProtection="1">
      <alignment horizontal="center" vertical="center"/>
    </xf>
    <xf numFmtId="10" fontId="33" fillId="34" borderId="1" xfId="1" applyNumberFormat="1" applyFont="1" applyFill="1" applyBorder="1" applyAlignment="1" applyProtection="1">
      <alignment horizontal="center" vertical="center"/>
    </xf>
    <xf numFmtId="10" fontId="33" fillId="34" borderId="2" xfId="1" applyNumberFormat="1" applyFont="1" applyFill="1" applyBorder="1" applyAlignment="1" applyProtection="1">
      <alignment horizontal="center" vertical="center"/>
    </xf>
    <xf numFmtId="10" fontId="33" fillId="34" borderId="65" xfId="1" applyNumberFormat="1" applyFont="1" applyFill="1" applyBorder="1" applyAlignment="1" applyProtection="1">
      <alignment horizontal="center" vertical="center"/>
    </xf>
    <xf numFmtId="10" fontId="33" fillId="34" borderId="9" xfId="1" applyNumberFormat="1" applyFont="1" applyFill="1" applyBorder="1" applyAlignment="1" applyProtection="1">
      <alignment horizontal="center" vertical="center"/>
    </xf>
    <xf numFmtId="10" fontId="33" fillId="34" borderId="10" xfId="1" applyNumberFormat="1" applyFont="1" applyFill="1" applyBorder="1" applyAlignment="1" applyProtection="1">
      <alignment horizontal="center" vertical="center"/>
    </xf>
    <xf numFmtId="49" fontId="34" fillId="29" borderId="51" xfId="32" applyNumberFormat="1" applyFont="1" applyFill="1" applyBorder="1" applyAlignment="1" applyProtection="1">
      <alignment horizontal="center" vertical="center"/>
    </xf>
    <xf numFmtId="49" fontId="34" fillId="29" borderId="17" xfId="32" applyNumberFormat="1" applyFont="1" applyFill="1" applyBorder="1" applyAlignment="1" applyProtection="1">
      <alignment horizontal="center" vertical="center"/>
    </xf>
    <xf numFmtId="49" fontId="34" fillId="29" borderId="39" xfId="32" applyNumberFormat="1" applyFont="1" applyFill="1" applyBorder="1" applyAlignment="1" applyProtection="1">
      <alignment horizontal="center" vertical="center"/>
    </xf>
    <xf numFmtId="0" fontId="5" fillId="30" borderId="0" xfId="32" applyFont="1" applyFill="1" applyBorder="1" applyAlignment="1">
      <alignment horizontal="center" vertical="center"/>
    </xf>
    <xf numFmtId="0" fontId="12" fillId="30" borderId="0" xfId="49" applyFont="1" applyFill="1" applyBorder="1" applyAlignment="1">
      <alignment horizontal="center" vertical="center"/>
    </xf>
    <xf numFmtId="0" fontId="13" fillId="30" borderId="0" xfId="49" applyFont="1" applyFill="1" applyAlignment="1">
      <alignment horizontal="left" indent="1"/>
    </xf>
    <xf numFmtId="0" fontId="36" fillId="30" borderId="0" xfId="49" applyFont="1" applyFill="1" applyAlignment="1">
      <alignment horizontal="left" indent="1"/>
    </xf>
    <xf numFmtId="173" fontId="34" fillId="0" borderId="73" xfId="37" applyNumberFormat="1" applyFont="1" applyFill="1" applyBorder="1" applyProtection="1">
      <alignment horizontal="right" vertical="center" wrapText="1"/>
    </xf>
    <xf numFmtId="173" fontId="34" fillId="0" borderId="73" xfId="28" applyNumberFormat="1" applyFont="1" applyFill="1" applyBorder="1" applyProtection="1">
      <alignment horizontal="right" vertical="center" wrapText="1"/>
    </xf>
    <xf numFmtId="173" fontId="34" fillId="0" borderId="76" xfId="28" applyNumberFormat="1" applyFont="1" applyFill="1" applyBorder="1" applyProtection="1">
      <alignment horizontal="right" vertical="center" wrapText="1"/>
    </xf>
    <xf numFmtId="173" fontId="34" fillId="0" borderId="58" xfId="37" applyNumberFormat="1" applyFont="1" applyFill="1" applyBorder="1" applyProtection="1">
      <alignment horizontal="right" vertical="center" wrapText="1"/>
    </xf>
    <xf numFmtId="3" fontId="34" fillId="0" borderId="73" xfId="37" applyFont="1" applyFill="1" applyBorder="1" applyProtection="1">
      <alignment horizontal="right" vertical="center" wrapText="1"/>
    </xf>
    <xf numFmtId="38" fontId="34" fillId="0" borderId="73" xfId="28" applyFont="1" applyFill="1" applyBorder="1" applyProtection="1">
      <alignment horizontal="right" vertical="center" wrapText="1"/>
    </xf>
    <xf numFmtId="38" fontId="34" fillId="0" borderId="76" xfId="28" applyFont="1" applyFill="1" applyBorder="1" applyProtection="1">
      <alignment horizontal="right" vertical="center" wrapText="1"/>
    </xf>
    <xf numFmtId="0" fontId="20" fillId="30" borderId="0" xfId="32" applyFill="1" applyProtection="1"/>
    <xf numFmtId="0" fontId="5" fillId="0" borderId="0" xfId="0" applyFont="1" applyBorder="1" applyAlignment="1" applyProtection="1">
      <alignment horizontal="right" vertical="center"/>
    </xf>
    <xf numFmtId="0" fontId="5" fillId="0" borderId="0" xfId="0" applyFont="1" applyBorder="1" applyAlignment="1" applyProtection="1">
      <alignment vertical="center"/>
    </xf>
    <xf numFmtId="0" fontId="13" fillId="2" borderId="35" xfId="32" applyFont="1" applyFill="1" applyBorder="1" applyAlignment="1" applyProtection="1">
      <alignment horizontal="center" vertical="center" wrapText="1"/>
    </xf>
    <xf numFmtId="0" fontId="13" fillId="2" borderId="41" xfId="32" applyFont="1" applyFill="1" applyBorder="1" applyAlignment="1" applyProtection="1">
      <alignment horizontal="center" vertical="center" wrapText="1"/>
    </xf>
    <xf numFmtId="0" fontId="70" fillId="30" borderId="63" xfId="32" applyFont="1" applyFill="1" applyBorder="1" applyAlignment="1" applyProtection="1">
      <alignment vertical="center"/>
    </xf>
    <xf numFmtId="0" fontId="4" fillId="30" borderId="69" xfId="32" applyFont="1" applyFill="1" applyBorder="1" applyAlignment="1" applyProtection="1">
      <alignment vertical="center"/>
    </xf>
    <xf numFmtId="0" fontId="4" fillId="30" borderId="63" xfId="32" applyFont="1" applyFill="1" applyBorder="1" applyAlignment="1" applyProtection="1">
      <alignment vertical="center"/>
    </xf>
    <xf numFmtId="0" fontId="13" fillId="30" borderId="63" xfId="32" applyFont="1" applyFill="1" applyBorder="1" applyAlignment="1" applyProtection="1">
      <alignment horizontal="center" vertical="center"/>
    </xf>
    <xf numFmtId="0" fontId="4" fillId="30" borderId="4" xfId="32" applyFont="1" applyFill="1" applyBorder="1" applyAlignment="1" applyProtection="1">
      <alignment vertical="center"/>
    </xf>
    <xf numFmtId="0" fontId="4" fillId="30" borderId="13" xfId="32" applyFont="1" applyFill="1" applyBorder="1" applyAlignment="1" applyProtection="1">
      <alignment vertical="center" wrapText="1"/>
    </xf>
    <xf numFmtId="0" fontId="4" fillId="30" borderId="4" xfId="32" applyFont="1" applyFill="1" applyBorder="1" applyAlignment="1" applyProtection="1">
      <alignment horizontal="center" vertical="center" wrapText="1"/>
    </xf>
    <xf numFmtId="0" fontId="13" fillId="30" borderId="4" xfId="32" applyFont="1" applyFill="1" applyBorder="1" applyProtection="1"/>
    <xf numFmtId="0" fontId="4" fillId="30" borderId="31" xfId="32" applyFont="1" applyFill="1" applyBorder="1" applyAlignment="1" applyProtection="1">
      <alignment vertical="center"/>
    </xf>
    <xf numFmtId="0" fontId="4" fillId="30" borderId="44" xfId="32" applyFont="1" applyFill="1" applyBorder="1" applyAlignment="1" applyProtection="1">
      <alignment vertical="center" wrapText="1"/>
    </xf>
    <xf numFmtId="0" fontId="4" fillId="30" borderId="31" xfId="32" applyFont="1" applyFill="1" applyBorder="1" applyAlignment="1" applyProtection="1">
      <alignment horizontal="center" vertical="center" wrapText="1"/>
    </xf>
    <xf numFmtId="0" fontId="13" fillId="30" borderId="31" xfId="32" applyFont="1" applyFill="1" applyBorder="1" applyAlignment="1" applyProtection="1">
      <alignment vertical="center"/>
    </xf>
    <xf numFmtId="0" fontId="4" fillId="20" borderId="4" xfId="32" applyFont="1" applyFill="1" applyBorder="1" applyProtection="1"/>
    <xf numFmtId="0" fontId="4" fillId="20" borderId="13" xfId="32" applyFont="1" applyFill="1" applyBorder="1" applyProtection="1"/>
    <xf numFmtId="0" fontId="13" fillId="20" borderId="4" xfId="32" applyFont="1" applyFill="1" applyBorder="1" applyProtection="1"/>
    <xf numFmtId="0" fontId="4" fillId="30" borderId="69" xfId="32" applyFont="1" applyFill="1" applyBorder="1" applyAlignment="1" applyProtection="1">
      <alignment vertical="center" wrapText="1"/>
    </xf>
    <xf numFmtId="0" fontId="64" fillId="30" borderId="63" xfId="32" applyFont="1" applyFill="1" applyBorder="1" applyAlignment="1" applyProtection="1">
      <alignment horizontal="center" vertical="center" wrapText="1"/>
    </xf>
    <xf numFmtId="0" fontId="64" fillId="30" borderId="4" xfId="32" applyFont="1" applyFill="1" applyBorder="1" applyAlignment="1" applyProtection="1">
      <alignment vertical="center"/>
    </xf>
    <xf numFmtId="0" fontId="64" fillId="30" borderId="4" xfId="32" applyFont="1" applyFill="1" applyBorder="1" applyAlignment="1" applyProtection="1">
      <alignment horizontal="center" vertical="center" wrapText="1"/>
    </xf>
    <xf numFmtId="0" fontId="13" fillId="30" borderId="4" xfId="32" applyFont="1" applyFill="1" applyBorder="1" applyAlignment="1" applyProtection="1">
      <alignment horizontal="center" vertical="center" wrapText="1"/>
    </xf>
    <xf numFmtId="0" fontId="4" fillId="30" borderId="31" xfId="32" applyFont="1" applyFill="1" applyBorder="1" applyAlignment="1" applyProtection="1">
      <alignment vertical="center" wrapText="1"/>
    </xf>
    <xf numFmtId="0" fontId="13" fillId="30" borderId="4" xfId="32" applyFont="1" applyFill="1" applyBorder="1" applyAlignment="1" applyProtection="1">
      <alignment vertical="center"/>
    </xf>
    <xf numFmtId="0" fontId="4" fillId="30" borderId="13" xfId="32" applyFont="1" applyFill="1" applyBorder="1" applyProtection="1"/>
    <xf numFmtId="0" fontId="4" fillId="30" borderId="44" xfId="32" applyFont="1" applyFill="1" applyBorder="1" applyProtection="1"/>
    <xf numFmtId="0" fontId="70" fillId="30" borderId="4" xfId="32" applyFont="1" applyFill="1" applyBorder="1" applyAlignment="1" applyProtection="1">
      <alignment vertical="center"/>
    </xf>
    <xf numFmtId="0" fontId="4" fillId="30" borderId="13" xfId="32" applyFont="1" applyFill="1" applyBorder="1" applyAlignment="1" applyProtection="1">
      <alignment vertical="center"/>
    </xf>
    <xf numFmtId="0" fontId="64" fillId="30" borderId="4" xfId="32" applyFont="1" applyFill="1" applyBorder="1" applyAlignment="1" applyProtection="1">
      <alignment horizontal="center" vertical="center"/>
    </xf>
    <xf numFmtId="0" fontId="4" fillId="30" borderId="13" xfId="32" applyFont="1" applyFill="1" applyBorder="1" applyAlignment="1" applyProtection="1">
      <alignment horizontal="left" vertical="center" wrapText="1"/>
    </xf>
    <xf numFmtId="0" fontId="64" fillId="30" borderId="63" xfId="32" applyFont="1" applyFill="1" applyBorder="1" applyAlignment="1" applyProtection="1">
      <alignment horizontal="center" vertical="center"/>
    </xf>
    <xf numFmtId="0" fontId="13" fillId="30" borderId="4" xfId="32" applyFont="1" applyFill="1" applyBorder="1" applyAlignment="1" applyProtection="1">
      <alignment horizontal="center" vertical="center"/>
    </xf>
    <xf numFmtId="0" fontId="13" fillId="30" borderId="31" xfId="32" applyFont="1" applyFill="1" applyBorder="1" applyProtection="1"/>
    <xf numFmtId="0" fontId="126" fillId="0" borderId="0" xfId="0" applyFont="1" applyProtection="1"/>
    <xf numFmtId="0" fontId="4" fillId="30" borderId="4" xfId="32" applyFont="1" applyFill="1" applyBorder="1" applyAlignment="1" applyProtection="1">
      <alignment vertical="center" wrapText="1"/>
    </xf>
    <xf numFmtId="0" fontId="4" fillId="30" borderId="4" xfId="32" applyFont="1" applyFill="1" applyBorder="1" applyAlignment="1" applyProtection="1">
      <alignment horizontal="left" vertical="top" wrapText="1"/>
    </xf>
    <xf numFmtId="0" fontId="4" fillId="30" borderId="63" xfId="32" applyFont="1" applyFill="1" applyBorder="1" applyProtection="1"/>
    <xf numFmtId="0" fontId="4" fillId="30" borderId="69" xfId="32" applyFont="1" applyFill="1" applyBorder="1" applyProtection="1"/>
    <xf numFmtId="0" fontId="4" fillId="30" borderId="4" xfId="32" applyFont="1" applyFill="1" applyBorder="1" applyProtection="1"/>
    <xf numFmtId="0" fontId="13" fillId="30" borderId="4" xfId="32" applyFont="1" applyFill="1" applyBorder="1" applyAlignment="1" applyProtection="1">
      <alignment vertical="center" wrapText="1"/>
    </xf>
    <xf numFmtId="0" fontId="13" fillId="30" borderId="31" xfId="32" applyFont="1" applyFill="1" applyBorder="1" applyAlignment="1" applyProtection="1">
      <alignment vertical="center" wrapText="1"/>
    </xf>
    <xf numFmtId="0" fontId="4" fillId="30" borderId="4" xfId="32" applyFont="1" applyFill="1" applyBorder="1" applyAlignment="1" applyProtection="1">
      <alignment horizontal="center" vertical="top" wrapText="1"/>
    </xf>
    <xf numFmtId="0" fontId="4" fillId="30" borderId="31" xfId="32" applyFont="1" applyFill="1" applyBorder="1" applyAlignment="1" applyProtection="1">
      <alignment horizontal="center" vertical="top" wrapText="1"/>
    </xf>
    <xf numFmtId="0" fontId="4" fillId="30" borderId="63" xfId="32" applyFont="1" applyFill="1" applyBorder="1" applyAlignment="1" applyProtection="1">
      <alignment vertical="center" wrapText="1"/>
    </xf>
    <xf numFmtId="0" fontId="4" fillId="29" borderId="63" xfId="32" applyFont="1" applyFill="1" applyBorder="1" applyProtection="1"/>
    <xf numFmtId="0" fontId="4" fillId="29" borderId="69" xfId="32" applyFont="1" applyFill="1" applyBorder="1" applyProtection="1"/>
    <xf numFmtId="0" fontId="13" fillId="29" borderId="63" xfId="32" applyFont="1" applyFill="1" applyBorder="1" applyAlignment="1" applyProtection="1">
      <alignment horizontal="center"/>
    </xf>
    <xf numFmtId="0" fontId="20" fillId="29" borderId="0" xfId="32" applyFill="1" applyProtection="1"/>
    <xf numFmtId="0" fontId="126" fillId="0" borderId="0" xfId="0" applyFont="1" applyBorder="1" applyProtection="1"/>
    <xf numFmtId="0" fontId="4" fillId="29" borderId="4" xfId="32" applyFont="1" applyFill="1" applyBorder="1" applyAlignment="1" applyProtection="1">
      <alignment wrapText="1"/>
    </xf>
    <xf numFmtId="0" fontId="13" fillId="29" borderId="4" xfId="32" applyFont="1" applyFill="1" applyBorder="1" applyProtection="1"/>
    <xf numFmtId="0" fontId="4" fillId="29" borderId="31" xfId="32" applyFont="1" applyFill="1" applyBorder="1" applyProtection="1"/>
    <xf numFmtId="0" fontId="4" fillId="29" borderId="44" xfId="32" applyFont="1" applyFill="1" applyBorder="1" applyProtection="1"/>
    <xf numFmtId="0" fontId="13" fillId="29" borderId="31" xfId="32" applyFont="1" applyFill="1" applyBorder="1" applyProtection="1"/>
    <xf numFmtId="0" fontId="13" fillId="30" borderId="31" xfId="32" quotePrefix="1" applyFont="1" applyFill="1" applyBorder="1" applyAlignment="1" applyProtection="1">
      <alignment vertical="center" wrapText="1"/>
    </xf>
    <xf numFmtId="0" fontId="4" fillId="0" borderId="13" xfId="32" applyFont="1" applyFill="1" applyBorder="1" applyAlignment="1" applyProtection="1">
      <alignment vertical="center" wrapText="1"/>
    </xf>
    <xf numFmtId="0" fontId="4" fillId="29" borderId="4" xfId="32" applyFont="1" applyFill="1" applyBorder="1" applyProtection="1"/>
    <xf numFmtId="0" fontId="4" fillId="29" borderId="13" xfId="32" applyFont="1" applyFill="1" applyBorder="1" applyAlignment="1" applyProtection="1">
      <alignment wrapText="1"/>
    </xf>
    <xf numFmtId="0" fontId="4" fillId="29" borderId="44" xfId="32" applyFont="1" applyFill="1" applyBorder="1" applyAlignment="1" applyProtection="1">
      <alignment wrapText="1"/>
    </xf>
    <xf numFmtId="0" fontId="4" fillId="29" borderId="31" xfId="32" applyFont="1" applyFill="1" applyBorder="1" applyAlignment="1" applyProtection="1">
      <alignment wrapText="1"/>
    </xf>
    <xf numFmtId="0" fontId="64" fillId="30" borderId="4" xfId="32" applyFont="1" applyFill="1" applyBorder="1" applyAlignment="1" applyProtection="1">
      <alignment vertical="center" wrapText="1"/>
    </xf>
    <xf numFmtId="0" fontId="4" fillId="30" borderId="13" xfId="32" applyFont="1" applyFill="1" applyBorder="1" applyAlignment="1" applyProtection="1">
      <alignment wrapText="1"/>
    </xf>
    <xf numFmtId="0" fontId="31" fillId="30" borderId="4" xfId="32" applyFont="1" applyFill="1" applyBorder="1" applyAlignment="1" applyProtection="1">
      <alignment vertical="center" wrapText="1"/>
    </xf>
    <xf numFmtId="0" fontId="4" fillId="30" borderId="44" xfId="32" applyFont="1" applyFill="1" applyBorder="1" applyAlignment="1" applyProtection="1">
      <alignment vertical="center"/>
    </xf>
    <xf numFmtId="0" fontId="13" fillId="30" borderId="31" xfId="32" applyFont="1" applyFill="1" applyBorder="1" applyAlignment="1" applyProtection="1">
      <alignment horizontal="center" vertical="center" wrapText="1"/>
    </xf>
    <xf numFmtId="0" fontId="4" fillId="20" borderId="4" xfId="32" applyFont="1" applyFill="1" applyBorder="1" applyAlignment="1" applyProtection="1">
      <alignment wrapText="1"/>
    </xf>
    <xf numFmtId="0" fontId="4" fillId="30" borderId="4" xfId="32" applyFont="1" applyFill="1" applyBorder="1" applyAlignment="1" applyProtection="1">
      <alignment horizontal="left" vertical="center" wrapText="1"/>
    </xf>
    <xf numFmtId="0" fontId="4" fillId="30" borderId="44" xfId="32" applyFont="1" applyFill="1" applyBorder="1" applyAlignment="1" applyProtection="1">
      <alignment horizontal="left" vertical="center" wrapText="1"/>
    </xf>
    <xf numFmtId="0" fontId="4" fillId="30" borderId="31" xfId="32" applyFont="1" applyFill="1" applyBorder="1" applyAlignment="1" applyProtection="1">
      <alignment horizontal="left" vertical="center" wrapText="1"/>
    </xf>
    <xf numFmtId="0" fontId="4" fillId="20" borderId="31" xfId="32" applyFont="1" applyFill="1" applyBorder="1" applyProtection="1"/>
    <xf numFmtId="0" fontId="4" fillId="20" borderId="44" xfId="32" applyFont="1" applyFill="1" applyBorder="1" applyProtection="1"/>
    <xf numFmtId="0" fontId="13" fillId="20" borderId="31" xfId="32" applyFont="1" applyFill="1" applyBorder="1" applyProtection="1"/>
    <xf numFmtId="0" fontId="4" fillId="30" borderId="0" xfId="32" applyFont="1" applyFill="1" applyProtection="1"/>
    <xf numFmtId="0" fontId="13" fillId="30" borderId="0" xfId="32" applyFont="1" applyFill="1" applyProtection="1"/>
    <xf numFmtId="0" fontId="65" fillId="30" borderId="0" xfId="32" applyFont="1" applyFill="1" applyProtection="1"/>
    <xf numFmtId="0" fontId="5" fillId="30" borderId="0" xfId="32" applyFont="1" applyFill="1" applyBorder="1" applyAlignment="1">
      <alignment horizontal="right" vertical="center"/>
    </xf>
    <xf numFmtId="1" fontId="74" fillId="45" borderId="89" xfId="0" applyNumberFormat="1" applyFont="1" applyFill="1" applyBorder="1" applyAlignment="1">
      <alignment horizontal="center" wrapText="1"/>
    </xf>
    <xf numFmtId="167" fontId="102" fillId="45" borderId="89" xfId="49" applyNumberFormat="1" applyFont="1" applyFill="1" applyBorder="1" applyAlignment="1">
      <alignment horizontal="center"/>
    </xf>
    <xf numFmtId="49" fontId="34" fillId="0" borderId="24" xfId="49" applyNumberFormat="1" applyFont="1" applyFill="1" applyBorder="1" applyAlignment="1">
      <alignment horizontal="left" wrapText="1"/>
    </xf>
    <xf numFmtId="49" fontId="13" fillId="26" borderId="1" xfId="49" applyNumberFormat="1" applyFont="1" applyFill="1" applyBorder="1" applyAlignment="1">
      <alignment horizontal="center" vertical="center"/>
    </xf>
    <xf numFmtId="49" fontId="13" fillId="26" borderId="1" xfId="49" applyNumberFormat="1" applyFont="1" applyFill="1" applyBorder="1" applyAlignment="1">
      <alignment vertical="center"/>
    </xf>
    <xf numFmtId="167" fontId="20" fillId="30" borderId="0" xfId="49" applyNumberFormat="1" applyFont="1" applyFill="1"/>
    <xf numFmtId="0" fontId="13" fillId="26" borderId="1" xfId="49" applyFont="1" applyFill="1" applyBorder="1" applyAlignment="1">
      <alignment horizontal="center" vertical="center"/>
    </xf>
    <xf numFmtId="0" fontId="13" fillId="26" borderId="1" xfId="49" applyFont="1" applyFill="1" applyBorder="1" applyAlignment="1">
      <alignment horizontal="left" vertical="center"/>
    </xf>
    <xf numFmtId="3" fontId="40" fillId="0" borderId="7" xfId="0" applyNumberFormat="1" applyFont="1" applyFill="1" applyBorder="1" applyAlignment="1" applyProtection="1">
      <alignment horizontal="center" vertical="center"/>
    </xf>
    <xf numFmtId="9" fontId="4" fillId="3" borderId="75" xfId="32" applyNumberFormat="1" applyFont="1" applyFill="1" applyBorder="1" applyAlignment="1" applyProtection="1">
      <alignment horizontal="center" vertical="center"/>
      <protection locked="0"/>
    </xf>
    <xf numFmtId="9" fontId="4" fillId="3" borderId="73" xfId="32" applyNumberFormat="1" applyFont="1" applyFill="1" applyBorder="1" applyAlignment="1" applyProtection="1">
      <alignment horizontal="center" vertical="center"/>
      <protection locked="0"/>
    </xf>
    <xf numFmtId="9" fontId="4" fillId="3" borderId="76" xfId="32" applyNumberFormat="1" applyFont="1" applyFill="1" applyBorder="1" applyAlignment="1" applyProtection="1">
      <alignment horizontal="center" vertical="center"/>
      <protection locked="0"/>
    </xf>
    <xf numFmtId="9" fontId="4" fillId="3" borderId="52" xfId="32" applyNumberFormat="1" applyFont="1" applyFill="1" applyBorder="1" applyAlignment="1" applyProtection="1">
      <alignment horizontal="center" vertical="center"/>
      <protection locked="0"/>
    </xf>
    <xf numFmtId="9" fontId="4" fillId="3" borderId="7" xfId="32" applyNumberFormat="1" applyFont="1" applyFill="1" applyBorder="1" applyAlignment="1" applyProtection="1">
      <alignment horizontal="center" vertical="center"/>
      <protection locked="0"/>
    </xf>
    <xf numFmtId="9" fontId="4" fillId="3" borderId="53" xfId="32" applyNumberFormat="1" applyFont="1" applyFill="1" applyBorder="1" applyAlignment="1" applyProtection="1">
      <alignment horizontal="center" vertical="center"/>
      <protection locked="0"/>
    </xf>
    <xf numFmtId="9" fontId="4" fillId="3" borderId="56" xfId="32" applyNumberFormat="1" applyFont="1" applyFill="1" applyBorder="1" applyAlignment="1" applyProtection="1">
      <alignment horizontal="center" vertical="center"/>
      <protection locked="0"/>
    </xf>
    <xf numFmtId="9" fontId="4" fillId="3" borderId="77" xfId="32" applyNumberFormat="1" applyFont="1" applyFill="1" applyBorder="1" applyAlignment="1" applyProtection="1">
      <alignment horizontal="center" vertical="center"/>
      <protection locked="0"/>
    </xf>
    <xf numFmtId="9" fontId="4" fillId="3" borderId="57" xfId="32" applyNumberFormat="1" applyFont="1" applyFill="1" applyBorder="1" applyAlignment="1" applyProtection="1">
      <alignment horizontal="center" vertical="center"/>
      <protection locked="0"/>
    </xf>
    <xf numFmtId="0" fontId="12"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168" fontId="35" fillId="29" borderId="102" xfId="49" applyNumberFormat="1" applyFont="1" applyFill="1" applyBorder="1" applyAlignment="1" applyProtection="1">
      <alignment horizontal="center" vertical="center" wrapText="1"/>
    </xf>
    <xf numFmtId="3" fontId="13" fillId="30" borderId="46" xfId="49" applyNumberFormat="1" applyFont="1" applyFill="1" applyBorder="1" applyAlignment="1">
      <alignment horizontal="center" vertical="center" wrapText="1"/>
    </xf>
    <xf numFmtId="3" fontId="13" fillId="21" borderId="53" xfId="49" applyNumberFormat="1" applyFont="1" applyFill="1" applyBorder="1" applyAlignment="1">
      <alignment horizontal="center" vertical="center"/>
    </xf>
    <xf numFmtId="168" fontId="35" fillId="29" borderId="121" xfId="49" applyNumberFormat="1" applyFont="1" applyFill="1" applyBorder="1" applyAlignment="1" applyProtection="1">
      <alignment horizontal="center" vertical="center" wrapText="1"/>
    </xf>
    <xf numFmtId="168" fontId="35" fillId="0" borderId="88" xfId="49" applyNumberFormat="1" applyFont="1" applyFill="1" applyBorder="1" applyAlignment="1" applyProtection="1">
      <alignment horizontal="center" vertical="center" wrapText="1"/>
    </xf>
    <xf numFmtId="168" fontId="35" fillId="0" borderId="96" xfId="49" applyNumberFormat="1" applyFont="1" applyFill="1" applyBorder="1" applyAlignment="1" applyProtection="1">
      <alignment horizontal="center" vertical="center" wrapText="1"/>
    </xf>
    <xf numFmtId="168" fontId="35" fillId="0" borderId="97" xfId="49" applyNumberFormat="1" applyFont="1" applyFill="1" applyBorder="1" applyAlignment="1" applyProtection="1">
      <alignment horizontal="center" vertical="center" wrapText="1"/>
    </xf>
    <xf numFmtId="168" fontId="35" fillId="0" borderId="102" xfId="49" applyNumberFormat="1" applyFont="1" applyFill="1" applyBorder="1" applyAlignment="1" applyProtection="1">
      <alignment horizontal="center" vertical="center" wrapText="1"/>
    </xf>
    <xf numFmtId="168" fontId="35" fillId="0" borderId="103" xfId="49" applyNumberFormat="1" applyFont="1" applyFill="1" applyBorder="1" applyAlignment="1" applyProtection="1">
      <alignment horizontal="center" vertical="center" wrapText="1"/>
    </xf>
    <xf numFmtId="168" fontId="35" fillId="0" borderId="104" xfId="49" applyNumberFormat="1" applyFont="1" applyFill="1" applyBorder="1" applyAlignment="1" applyProtection="1">
      <alignment horizontal="center" vertical="center" wrapText="1"/>
    </xf>
    <xf numFmtId="168" fontId="35" fillId="0" borderId="98" xfId="49" applyNumberFormat="1" applyFont="1" applyFill="1" applyBorder="1" applyAlignment="1" applyProtection="1">
      <alignment horizontal="center" vertical="center" wrapText="1"/>
    </xf>
    <xf numFmtId="168" fontId="35" fillId="0" borderId="99" xfId="49" applyNumberFormat="1" applyFont="1" applyFill="1" applyBorder="1" applyAlignment="1" applyProtection="1">
      <alignment horizontal="center" vertical="center" wrapText="1"/>
    </xf>
    <xf numFmtId="168" fontId="35" fillId="0" borderId="100" xfId="49" applyNumberFormat="1" applyFont="1" applyFill="1" applyBorder="1" applyAlignment="1" applyProtection="1">
      <alignment horizontal="center" vertical="center" wrapText="1"/>
    </xf>
    <xf numFmtId="168" fontId="35" fillId="0" borderId="82" xfId="49" applyNumberFormat="1" applyFont="1" applyFill="1" applyBorder="1" applyAlignment="1" applyProtection="1">
      <alignment horizontal="center" vertical="center" wrapText="1"/>
    </xf>
    <xf numFmtId="168" fontId="35" fillId="0" borderId="105" xfId="49" applyNumberFormat="1" applyFont="1" applyFill="1" applyBorder="1" applyAlignment="1" applyProtection="1">
      <alignment horizontal="center" vertical="center" wrapText="1"/>
    </xf>
    <xf numFmtId="168" fontId="35" fillId="0" borderId="101" xfId="49" applyNumberFormat="1" applyFont="1" applyFill="1" applyBorder="1" applyAlignment="1" applyProtection="1">
      <alignment horizontal="center" vertical="center" wrapText="1"/>
    </xf>
    <xf numFmtId="168" fontId="35" fillId="0" borderId="106" xfId="49" applyNumberFormat="1" applyFont="1" applyFill="1" applyBorder="1" applyAlignment="1" applyProtection="1">
      <alignment horizontal="center" vertical="center" wrapText="1"/>
    </xf>
    <xf numFmtId="168" fontId="35" fillId="0" borderId="81" xfId="49" applyNumberFormat="1" applyFont="1" applyFill="1" applyBorder="1" applyAlignment="1" applyProtection="1">
      <alignment horizontal="center" vertical="center" wrapText="1"/>
    </xf>
    <xf numFmtId="10" fontId="4" fillId="3" borderId="7" xfId="32" applyNumberFormat="1" applyFont="1" applyFill="1" applyBorder="1" applyAlignment="1" applyProtection="1">
      <alignment horizontal="center" vertical="center"/>
      <protection locked="0"/>
    </xf>
    <xf numFmtId="3" fontId="4" fillId="29" borderId="9" xfId="32" applyNumberFormat="1" applyFont="1" applyFill="1" applyBorder="1" applyAlignment="1" applyProtection="1">
      <alignment horizontal="center" vertical="center"/>
      <protection locked="0"/>
    </xf>
    <xf numFmtId="0" fontId="34" fillId="46" borderId="0" xfId="0" applyFont="1" applyFill="1" applyAlignment="1">
      <alignment vertical="center" wrapText="1"/>
    </xf>
    <xf numFmtId="0" fontId="36" fillId="30" borderId="0" xfId="0" applyNumberFormat="1" applyFont="1" applyFill="1" applyAlignment="1">
      <alignment horizontal="right"/>
    </xf>
    <xf numFmtId="0" fontId="28" fillId="30" borderId="0" xfId="40" applyFont="1" applyFill="1" applyAlignment="1" applyProtection="1">
      <alignment horizontal="left" vertical="center"/>
    </xf>
    <xf numFmtId="3" fontId="4" fillId="29" borderId="65" xfId="32" applyNumberFormat="1" applyFont="1" applyFill="1" applyBorder="1" applyAlignment="1" applyProtection="1">
      <alignment horizontal="center" vertical="center"/>
      <protection locked="0"/>
    </xf>
    <xf numFmtId="0" fontId="34" fillId="0" borderId="46" xfId="49" applyFont="1" applyFill="1" applyBorder="1" applyAlignment="1" applyProtection="1">
      <alignment horizontal="left" vertical="center" wrapText="1"/>
    </xf>
    <xf numFmtId="0" fontId="34" fillId="0" borderId="10" xfId="49" applyFont="1" applyFill="1" applyBorder="1" applyAlignment="1" applyProtection="1">
      <alignment horizontal="left" vertical="center" wrapText="1"/>
    </xf>
    <xf numFmtId="3" fontId="4" fillId="29" borderId="10" xfId="32" applyNumberFormat="1" applyFont="1" applyFill="1" applyBorder="1" applyAlignment="1" applyProtection="1">
      <alignment horizontal="center" vertical="center"/>
      <protection locked="0"/>
    </xf>
    <xf numFmtId="10" fontId="38" fillId="29" borderId="7" xfId="0" applyNumberFormat="1" applyFont="1" applyFill="1" applyBorder="1" applyAlignment="1" applyProtection="1">
      <alignment horizontal="center" vertical="center"/>
    </xf>
    <xf numFmtId="10" fontId="38" fillId="29" borderId="53" xfId="0" applyNumberFormat="1" applyFont="1" applyFill="1" applyBorder="1" applyAlignment="1" applyProtection="1">
      <alignment horizontal="center" vertical="center"/>
    </xf>
    <xf numFmtId="3" fontId="34" fillId="32" borderId="17" xfId="32" applyNumberFormat="1" applyFont="1" applyFill="1" applyBorder="1" applyAlignment="1" applyProtection="1">
      <alignment horizontal="center" vertical="center"/>
    </xf>
    <xf numFmtId="0" fontId="36" fillId="29" borderId="0" xfId="0" applyFont="1" applyFill="1" applyAlignment="1">
      <alignment vertical="center"/>
    </xf>
    <xf numFmtId="0" fontId="4" fillId="29" borderId="38" xfId="0" applyFont="1" applyFill="1" applyBorder="1" applyAlignment="1">
      <alignment horizontal="center"/>
    </xf>
    <xf numFmtId="0" fontId="34" fillId="29" borderId="60" xfId="49" applyFont="1" applyFill="1" applyBorder="1" applyAlignment="1" applyProtection="1">
      <alignment horizontal="left" vertical="center" wrapText="1"/>
    </xf>
    <xf numFmtId="3" fontId="34" fillId="29" borderId="38" xfId="21" applyNumberFormat="1" applyFont="1" applyFill="1" applyBorder="1">
      <alignment horizontal="center" vertical="center" wrapText="1"/>
    </xf>
    <xf numFmtId="3" fontId="34" fillId="29" borderId="9" xfId="21" applyNumberFormat="1" applyFont="1" applyFill="1" applyBorder="1">
      <alignment horizontal="center" vertical="center" wrapText="1"/>
    </xf>
    <xf numFmtId="3" fontId="34" fillId="29" borderId="60" xfId="21" applyNumberFormat="1" applyFont="1" applyFill="1" applyBorder="1">
      <alignment horizontal="center" vertical="center" wrapText="1"/>
    </xf>
    <xf numFmtId="3" fontId="34" fillId="29" borderId="10" xfId="21" applyNumberFormat="1" applyFont="1" applyFill="1" applyBorder="1">
      <alignment horizontal="center" vertical="center" wrapText="1"/>
    </xf>
    <xf numFmtId="10" fontId="34" fillId="29" borderId="7" xfId="1" applyNumberFormat="1" applyFont="1" applyFill="1" applyBorder="1" applyAlignment="1" applyProtection="1">
      <alignment horizontal="right" vertical="center" wrapText="1"/>
    </xf>
    <xf numFmtId="10" fontId="34" fillId="29" borderId="53" xfId="1" applyNumberFormat="1" applyFont="1" applyFill="1" applyBorder="1" applyAlignment="1" applyProtection="1">
      <alignment horizontal="right" vertical="center" wrapText="1"/>
    </xf>
    <xf numFmtId="168" fontId="35" fillId="29" borderId="106" xfId="49" applyNumberFormat="1" applyFont="1" applyFill="1" applyBorder="1" applyAlignment="1" applyProtection="1">
      <alignment horizontal="center" vertical="center" wrapText="1"/>
    </xf>
    <xf numFmtId="168" fontId="35" fillId="29" borderId="96" xfId="49" applyNumberFormat="1" applyFont="1" applyFill="1" applyBorder="1" applyAlignment="1" applyProtection="1">
      <alignment horizontal="center" vertical="center" wrapText="1"/>
    </xf>
    <xf numFmtId="10" fontId="34" fillId="29" borderId="52" xfId="1" applyNumberFormat="1" applyFont="1" applyFill="1" applyBorder="1" applyAlignment="1" applyProtection="1">
      <alignment horizontal="right" vertical="center" wrapText="1"/>
    </xf>
    <xf numFmtId="0" fontId="36" fillId="29" borderId="0" xfId="31" applyFont="1" applyFill="1" applyBorder="1"/>
    <xf numFmtId="0" fontId="4" fillId="29" borderId="0" xfId="31" applyFont="1" applyFill="1"/>
    <xf numFmtId="0" fontId="36" fillId="29" borderId="0" xfId="31" applyFont="1" applyFill="1" applyBorder="1" applyAlignment="1">
      <alignment vertical="center"/>
    </xf>
    <xf numFmtId="0" fontId="4" fillId="29" borderId="0" xfId="31" applyFont="1" applyFill="1" applyAlignment="1">
      <alignment vertical="center"/>
    </xf>
    <xf numFmtId="0" fontId="36" fillId="30" borderId="0" xfId="32" applyFont="1" applyFill="1" applyAlignment="1">
      <alignment horizontal="left"/>
    </xf>
    <xf numFmtId="0" fontId="4" fillId="30" borderId="0" xfId="49" applyFont="1" applyFill="1" applyAlignment="1">
      <alignment horizontal="left"/>
    </xf>
    <xf numFmtId="0" fontId="79" fillId="30" borderId="0" xfId="49" applyFont="1" applyFill="1" applyAlignment="1">
      <alignment horizontal="left"/>
    </xf>
    <xf numFmtId="0" fontId="102" fillId="30" borderId="0" xfId="49" applyFont="1" applyFill="1" applyAlignment="1">
      <alignment horizontal="left"/>
    </xf>
    <xf numFmtId="0" fontId="36" fillId="29" borderId="0" xfId="49" applyFont="1" applyFill="1" applyAlignment="1">
      <alignment horizontal="left"/>
    </xf>
    <xf numFmtId="168" fontId="35" fillId="29" borderId="124" xfId="49" applyNumberFormat="1" applyFont="1" applyFill="1" applyBorder="1" applyAlignment="1" applyProtection="1">
      <alignment horizontal="center" vertical="center" wrapText="1"/>
    </xf>
    <xf numFmtId="168" fontId="35" fillId="29" borderId="97" xfId="49" applyNumberFormat="1" applyFont="1" applyFill="1" applyBorder="1" applyAlignment="1" applyProtection="1">
      <alignment horizontal="center" vertical="center" wrapText="1"/>
    </xf>
    <xf numFmtId="168" fontId="35" fillId="29" borderId="125" xfId="49" applyNumberFormat="1" applyFont="1" applyFill="1" applyBorder="1" applyAlignment="1" applyProtection="1">
      <alignment horizontal="center" vertical="center" wrapText="1"/>
    </xf>
    <xf numFmtId="168" fontId="35" fillId="29" borderId="101" xfId="49" applyNumberFormat="1" applyFont="1" applyFill="1" applyBorder="1" applyAlignment="1" applyProtection="1">
      <alignment horizontal="center" vertical="center" wrapText="1"/>
    </xf>
    <xf numFmtId="168" fontId="35" fillId="29" borderId="99" xfId="49" applyNumberFormat="1" applyFont="1" applyFill="1" applyBorder="1" applyAlignment="1" applyProtection="1">
      <alignment horizontal="center" vertical="center" wrapText="1"/>
    </xf>
    <xf numFmtId="168" fontId="35" fillId="29" borderId="126" xfId="49" applyNumberFormat="1" applyFont="1" applyFill="1" applyBorder="1" applyAlignment="1" applyProtection="1">
      <alignment horizontal="center" vertical="center" wrapText="1"/>
    </xf>
    <xf numFmtId="168" fontId="35" fillId="29" borderId="100" xfId="49" applyNumberFormat="1" applyFont="1" applyFill="1" applyBorder="1" applyAlignment="1" applyProtection="1">
      <alignment horizontal="center" vertical="center" wrapText="1"/>
    </xf>
    <xf numFmtId="168" fontId="35" fillId="29" borderId="120" xfId="49" applyNumberFormat="1" applyFont="1" applyFill="1" applyBorder="1" applyAlignment="1" applyProtection="1">
      <alignment horizontal="center" vertical="center" wrapText="1"/>
    </xf>
    <xf numFmtId="168" fontId="35" fillId="29" borderId="117" xfId="49" applyNumberFormat="1" applyFont="1" applyFill="1" applyBorder="1" applyAlignment="1" applyProtection="1">
      <alignment horizontal="center" vertical="center" wrapText="1"/>
    </xf>
    <xf numFmtId="168" fontId="35" fillId="29" borderId="112" xfId="49" applyNumberFormat="1" applyFont="1" applyFill="1" applyBorder="1" applyAlignment="1" applyProtection="1">
      <alignment horizontal="center" vertical="center" wrapText="1"/>
    </xf>
    <xf numFmtId="168" fontId="35" fillId="29" borderId="113" xfId="49" applyNumberFormat="1" applyFont="1" applyFill="1" applyBorder="1" applyAlignment="1" applyProtection="1">
      <alignment horizontal="center" vertical="center" wrapText="1"/>
    </xf>
    <xf numFmtId="168" fontId="35" fillId="29" borderId="118" xfId="49" applyNumberFormat="1" applyFont="1" applyFill="1" applyBorder="1" applyAlignment="1" applyProtection="1">
      <alignment horizontal="center" vertical="center" wrapText="1"/>
    </xf>
    <xf numFmtId="168" fontId="35" fillId="29" borderId="114" xfId="49" applyNumberFormat="1" applyFont="1" applyFill="1" applyBorder="1" applyAlignment="1" applyProtection="1">
      <alignment horizontal="center" vertical="center" wrapText="1"/>
    </xf>
    <xf numFmtId="168" fontId="35" fillId="29" borderId="104" xfId="49" applyNumberFormat="1" applyFont="1" applyFill="1" applyBorder="1" applyAlignment="1" applyProtection="1">
      <alignment horizontal="center" vertical="center" wrapText="1"/>
    </xf>
    <xf numFmtId="168" fontId="35" fillId="29" borderId="119" xfId="49" applyNumberFormat="1" applyFont="1" applyFill="1" applyBorder="1" applyAlignment="1" applyProtection="1">
      <alignment horizontal="center" vertical="center" wrapText="1"/>
    </xf>
    <xf numFmtId="168" fontId="35" fillId="29" borderId="115" xfId="49" applyNumberFormat="1" applyFont="1" applyFill="1" applyBorder="1" applyAlignment="1" applyProtection="1">
      <alignment horizontal="center" vertical="center" wrapText="1"/>
    </xf>
    <xf numFmtId="168" fontId="35" fillId="29" borderId="116" xfId="49" applyNumberFormat="1" applyFont="1" applyFill="1" applyBorder="1" applyAlignment="1" applyProtection="1">
      <alignment horizontal="center" vertical="center" wrapText="1"/>
    </xf>
    <xf numFmtId="167" fontId="13" fillId="34" borderId="2" xfId="49" applyNumberFormat="1" applyFont="1" applyFill="1" applyBorder="1" applyAlignment="1" applyProtection="1">
      <alignment horizontal="center" wrapText="1"/>
    </xf>
    <xf numFmtId="167" fontId="13" fillId="34" borderId="65" xfId="49" applyNumberFormat="1" applyFont="1" applyFill="1" applyBorder="1" applyAlignment="1" applyProtection="1">
      <alignment horizontal="center" wrapText="1"/>
    </xf>
    <xf numFmtId="167" fontId="13" fillId="34" borderId="9" xfId="49" applyNumberFormat="1" applyFont="1" applyFill="1" applyBorder="1" applyAlignment="1" applyProtection="1">
      <alignment horizontal="center" wrapText="1"/>
    </xf>
    <xf numFmtId="167" fontId="13" fillId="34" borderId="10" xfId="49" applyNumberFormat="1" applyFont="1" applyFill="1" applyBorder="1" applyAlignment="1" applyProtection="1">
      <alignment horizontal="center" wrapText="1"/>
    </xf>
    <xf numFmtId="0" fontId="34" fillId="29" borderId="62" xfId="49" applyFont="1" applyFill="1" applyBorder="1" applyAlignment="1" applyProtection="1">
      <alignment horizontal="left" vertical="center" wrapText="1"/>
    </xf>
    <xf numFmtId="0" fontId="34" fillId="29" borderId="53" xfId="49" applyFont="1" applyFill="1" applyBorder="1" applyAlignment="1" applyProtection="1">
      <alignment horizontal="left" vertical="center" wrapText="1"/>
    </xf>
    <xf numFmtId="3" fontId="34" fillId="29" borderId="17" xfId="32" applyNumberFormat="1" applyFont="1" applyFill="1" applyBorder="1" applyAlignment="1">
      <alignment horizontal="center"/>
    </xf>
    <xf numFmtId="3" fontId="34" fillId="29" borderId="15" xfId="32" applyNumberFormat="1" applyFont="1" applyFill="1" applyBorder="1" applyAlignment="1">
      <alignment horizontal="center"/>
    </xf>
    <xf numFmtId="3" fontId="34" fillId="29" borderId="32" xfId="32" applyNumberFormat="1" applyFont="1" applyFill="1" applyBorder="1" applyAlignment="1">
      <alignment horizontal="center"/>
    </xf>
    <xf numFmtId="3" fontId="34" fillId="29" borderId="7" xfId="32" applyNumberFormat="1" applyFont="1" applyFill="1" applyBorder="1" applyAlignment="1">
      <alignment horizontal="center"/>
    </xf>
    <xf numFmtId="3" fontId="34" fillId="29" borderId="53" xfId="32" applyNumberFormat="1" applyFont="1" applyFill="1" applyBorder="1" applyAlignment="1">
      <alignment horizontal="center"/>
    </xf>
    <xf numFmtId="3" fontId="40" fillId="0" borderId="53" xfId="0" applyNumberFormat="1" applyFont="1" applyFill="1" applyBorder="1" applyAlignment="1" applyProtection="1">
      <alignment horizontal="center" vertical="center"/>
    </xf>
    <xf numFmtId="3" fontId="38" fillId="0" borderId="7" xfId="0" applyNumberFormat="1" applyFont="1" applyFill="1" applyBorder="1" applyAlignment="1" applyProtection="1">
      <alignment horizontal="center" vertical="center"/>
    </xf>
    <xf numFmtId="3" fontId="38" fillId="0" borderId="53" xfId="0" applyNumberFormat="1" applyFont="1" applyFill="1" applyBorder="1" applyAlignment="1" applyProtection="1">
      <alignment horizontal="center" vertical="center"/>
    </xf>
    <xf numFmtId="3" fontId="4" fillId="3" borderId="64" xfId="32" applyNumberFormat="1" applyFont="1" applyFill="1" applyBorder="1" applyAlignment="1" applyProtection="1">
      <alignment horizontal="center" vertical="center"/>
      <protection locked="0"/>
    </xf>
    <xf numFmtId="0" fontId="111" fillId="3" borderId="7" xfId="0" applyFont="1" applyFill="1" applyBorder="1" applyAlignment="1" applyProtection="1">
      <alignment horizontal="center" vertical="center" wrapText="1"/>
      <protection locked="0"/>
    </xf>
    <xf numFmtId="3" fontId="4" fillId="3" borderId="52" xfId="0" applyNumberFormat="1" applyFont="1" applyFill="1" applyBorder="1" applyAlignment="1" applyProtection="1">
      <alignment horizontal="center" vertical="center" wrapText="1"/>
      <protection locked="0"/>
    </xf>
    <xf numFmtId="3" fontId="4" fillId="3" borderId="56" xfId="0" applyNumberFormat="1" applyFont="1" applyFill="1" applyBorder="1" applyAlignment="1" applyProtection="1">
      <alignment horizontal="center" vertical="center" wrapText="1"/>
      <protection locked="0"/>
    </xf>
    <xf numFmtId="3" fontId="4" fillId="3" borderId="49" xfId="0" applyNumberFormat="1" applyFont="1" applyFill="1" applyBorder="1" applyAlignment="1" applyProtection="1">
      <alignment horizontal="center" vertical="center" wrapText="1"/>
      <protection locked="0"/>
    </xf>
    <xf numFmtId="49" fontId="27" fillId="3" borderId="24" xfId="0" applyNumberFormat="1" applyFont="1" applyFill="1" applyBorder="1" applyAlignment="1" applyProtection="1">
      <alignment horizontal="left" vertical="center"/>
      <protection locked="0"/>
    </xf>
    <xf numFmtId="0" fontId="4" fillId="3" borderId="29" xfId="0" applyFont="1" applyFill="1" applyBorder="1" applyAlignment="1" applyProtection="1">
      <alignment horizontal="center" vertical="center" wrapText="1"/>
      <protection locked="0"/>
    </xf>
    <xf numFmtId="0" fontId="4" fillId="3" borderId="24" xfId="0" applyFont="1" applyFill="1" applyBorder="1" applyAlignment="1" applyProtection="1">
      <alignment horizontal="center" vertical="center" wrapText="1"/>
      <protection locked="0"/>
    </xf>
    <xf numFmtId="0" fontId="4" fillId="3" borderId="42" xfId="0" applyFont="1" applyFill="1" applyBorder="1" applyAlignment="1" applyProtection="1">
      <alignment horizontal="center" vertical="center" wrapText="1"/>
      <protection locked="0"/>
    </xf>
    <xf numFmtId="0" fontId="4" fillId="3" borderId="48" xfId="0" applyFont="1" applyFill="1" applyBorder="1" applyAlignment="1" applyProtection="1">
      <alignment horizontal="center" vertical="center" wrapText="1"/>
      <protection locked="0"/>
    </xf>
    <xf numFmtId="4" fontId="4" fillId="3" borderId="17" xfId="32" applyNumberFormat="1" applyFont="1" applyFill="1" applyBorder="1" applyAlignment="1" applyProtection="1">
      <alignment horizontal="center" vertical="center"/>
      <protection locked="0"/>
    </xf>
    <xf numFmtId="4" fontId="4" fillId="3" borderId="53" xfId="32" applyNumberFormat="1" applyFont="1" applyFill="1" applyBorder="1" applyAlignment="1" applyProtection="1">
      <alignment horizontal="center" vertical="center"/>
      <protection locked="0"/>
    </xf>
    <xf numFmtId="3" fontId="31" fillId="3" borderId="52" xfId="32" applyNumberFormat="1" applyFont="1" applyFill="1" applyBorder="1" applyAlignment="1" applyProtection="1">
      <alignment horizontal="center" vertical="center"/>
      <protection locked="0"/>
    </xf>
    <xf numFmtId="3" fontId="31" fillId="3" borderId="62" xfId="32" applyNumberFormat="1" applyFont="1" applyFill="1" applyBorder="1" applyAlignment="1" applyProtection="1">
      <alignment horizontal="center" vertical="center"/>
      <protection locked="0"/>
    </xf>
    <xf numFmtId="3" fontId="31" fillId="3" borderId="7" xfId="32" applyNumberFormat="1" applyFont="1" applyFill="1" applyBorder="1" applyAlignment="1" applyProtection="1">
      <alignment horizontal="center" vertical="center"/>
      <protection locked="0"/>
    </xf>
    <xf numFmtId="3" fontId="31" fillId="3" borderId="75" xfId="32" applyNumberFormat="1" applyFont="1" applyFill="1" applyBorder="1" applyAlignment="1" applyProtection="1">
      <alignment horizontal="center" vertical="center"/>
      <protection locked="0"/>
    </xf>
    <xf numFmtId="0" fontId="31" fillId="0" borderId="50" xfId="0" applyFont="1" applyBorder="1" applyAlignment="1">
      <alignment vertical="center" wrapText="1"/>
    </xf>
    <xf numFmtId="0" fontId="31" fillId="0" borderId="5" xfId="2" applyFont="1" applyBorder="1" applyAlignment="1" applyProtection="1">
      <alignment horizontal="center" vertical="center"/>
    </xf>
    <xf numFmtId="3" fontId="31" fillId="3" borderId="5" xfId="0" applyNumberFormat="1" applyFont="1" applyFill="1" applyBorder="1" applyAlignment="1" applyProtection="1">
      <alignment horizontal="center" vertical="center" wrapText="1"/>
      <protection locked="0"/>
    </xf>
    <xf numFmtId="3" fontId="31" fillId="3" borderId="44" xfId="0" applyNumberFormat="1" applyFont="1" applyFill="1" applyBorder="1" applyAlignment="1" applyProtection="1">
      <alignment horizontal="center" vertical="center" wrapText="1"/>
      <protection locked="0"/>
    </xf>
    <xf numFmtId="3" fontId="31" fillId="3" borderId="31" xfId="0" applyNumberFormat="1" applyFont="1" applyFill="1" applyBorder="1" applyAlignment="1" applyProtection="1">
      <alignment horizontal="center" vertical="center" wrapText="1"/>
      <protection locked="0"/>
    </xf>
    <xf numFmtId="3" fontId="31" fillId="3" borderId="50" xfId="0" applyNumberFormat="1" applyFont="1" applyFill="1" applyBorder="1" applyAlignment="1" applyProtection="1">
      <alignment horizontal="center" vertical="center" wrapText="1"/>
      <protection locked="0"/>
    </xf>
    <xf numFmtId="4" fontId="4" fillId="3" borderId="73" xfId="32" applyNumberFormat="1" applyFont="1" applyFill="1" applyBorder="1" applyAlignment="1" applyProtection="1">
      <alignment horizontal="center" vertical="center"/>
      <protection locked="0"/>
    </xf>
    <xf numFmtId="4" fontId="4" fillId="3" borderId="77" xfId="32" applyNumberFormat="1" applyFont="1" applyFill="1" applyBorder="1" applyAlignment="1" applyProtection="1">
      <alignment horizontal="center" vertical="center"/>
      <protection locked="0"/>
    </xf>
    <xf numFmtId="4" fontId="4" fillId="3" borderId="7" xfId="32" applyNumberFormat="1" applyFont="1" applyFill="1" applyBorder="1" applyAlignment="1" applyProtection="1">
      <alignment horizontal="center" vertical="center"/>
      <protection locked="0"/>
    </xf>
    <xf numFmtId="4" fontId="4" fillId="3" borderId="76" xfId="32" applyNumberFormat="1" applyFont="1" applyFill="1" applyBorder="1" applyAlignment="1" applyProtection="1">
      <alignment horizontal="center" vertical="center"/>
      <protection locked="0"/>
    </xf>
    <xf numFmtId="4" fontId="4" fillId="3" borderId="57" xfId="32" applyNumberFormat="1" applyFont="1" applyFill="1" applyBorder="1" applyAlignment="1" applyProtection="1">
      <alignment horizontal="center" vertical="center"/>
      <protection locked="0"/>
    </xf>
    <xf numFmtId="0" fontId="31" fillId="0" borderId="76" xfId="0" applyFont="1" applyFill="1" applyBorder="1" applyAlignment="1">
      <alignment vertical="center" wrapText="1"/>
    </xf>
    <xf numFmtId="0" fontId="31" fillId="0" borderId="53" xfId="0" applyFont="1" applyFill="1" applyBorder="1" applyAlignment="1">
      <alignment vertical="center" wrapText="1"/>
    </xf>
    <xf numFmtId="0" fontId="31" fillId="0" borderId="53" xfId="0" applyFont="1" applyBorder="1" applyAlignment="1">
      <alignment vertical="center" wrapText="1"/>
    </xf>
    <xf numFmtId="0" fontId="31" fillId="0" borderId="57" xfId="0" applyFont="1" applyBorder="1" applyAlignment="1">
      <alignment vertical="center" wrapText="1"/>
    </xf>
    <xf numFmtId="49" fontId="66" fillId="21" borderId="39" xfId="32" applyNumberFormat="1" applyFont="1" applyFill="1" applyBorder="1" applyAlignment="1" applyProtection="1">
      <alignment horizontal="center" vertical="center"/>
    </xf>
    <xf numFmtId="49" fontId="66" fillId="21" borderId="26" xfId="32" applyNumberFormat="1" applyFont="1" applyFill="1" applyBorder="1" applyAlignment="1" applyProtection="1">
      <alignment horizontal="center" vertical="center"/>
    </xf>
    <xf numFmtId="49" fontId="66" fillId="21" borderId="5" xfId="32" applyNumberFormat="1" applyFont="1" applyFill="1" applyBorder="1" applyAlignment="1" applyProtection="1">
      <alignment horizontal="center" vertical="center"/>
    </xf>
    <xf numFmtId="0" fontId="67" fillId="21" borderId="36" xfId="32" applyFont="1" applyFill="1" applyBorder="1" applyAlignment="1" applyProtection="1">
      <alignment horizontal="right" vertical="center"/>
    </xf>
    <xf numFmtId="0" fontId="67" fillId="21" borderId="37" xfId="32" applyFont="1" applyFill="1" applyBorder="1" applyAlignment="1" applyProtection="1">
      <alignment horizontal="right" vertical="center"/>
    </xf>
    <xf numFmtId="0" fontId="67" fillId="21" borderId="18" xfId="32" applyFont="1" applyFill="1" applyBorder="1" applyAlignment="1" applyProtection="1">
      <alignment horizontal="right" vertical="center"/>
    </xf>
    <xf numFmtId="0" fontId="67" fillId="21" borderId="27" xfId="32" applyFont="1" applyFill="1" applyBorder="1" applyAlignment="1" applyProtection="1">
      <alignment horizontal="right" vertical="center"/>
    </xf>
    <xf numFmtId="0" fontId="67" fillId="21" borderId="0" xfId="32" applyFont="1" applyFill="1" applyBorder="1" applyAlignment="1" applyProtection="1">
      <alignment horizontal="right" vertical="center"/>
    </xf>
    <xf numFmtId="0" fontId="67" fillId="21" borderId="16" xfId="32" applyFont="1" applyFill="1" applyBorder="1" applyAlignment="1" applyProtection="1">
      <alignment horizontal="right" vertical="center"/>
    </xf>
    <xf numFmtId="0" fontId="67" fillId="21" borderId="25" xfId="32" applyFont="1" applyFill="1" applyBorder="1" applyAlignment="1" applyProtection="1">
      <alignment horizontal="right" vertical="center"/>
    </xf>
    <xf numFmtId="0" fontId="67" fillId="21" borderId="33" xfId="32" applyFont="1" applyFill="1" applyBorder="1" applyAlignment="1" applyProtection="1">
      <alignment horizontal="right" vertical="center"/>
    </xf>
    <xf numFmtId="0" fontId="67" fillId="21" borderId="6" xfId="32" applyFont="1" applyFill="1" applyBorder="1" applyAlignment="1" applyProtection="1">
      <alignment horizontal="right" vertical="center"/>
    </xf>
    <xf numFmtId="0" fontId="66" fillId="21" borderId="42" xfId="32" applyFont="1" applyFill="1" applyBorder="1" applyAlignment="1" applyProtection="1">
      <alignment horizontal="right" vertical="center"/>
    </xf>
    <xf numFmtId="0" fontId="66" fillId="21" borderId="20" xfId="32" applyFont="1" applyFill="1" applyBorder="1" applyAlignment="1" applyProtection="1">
      <alignment horizontal="right" vertical="center"/>
    </xf>
    <xf numFmtId="0" fontId="66" fillId="21" borderId="43" xfId="32" applyFont="1" applyFill="1" applyBorder="1" applyAlignment="1" applyProtection="1">
      <alignment horizontal="right" vertical="center"/>
    </xf>
    <xf numFmtId="0" fontId="66" fillId="0" borderId="24" xfId="32" applyNumberFormat="1" applyFont="1" applyFill="1" applyBorder="1" applyAlignment="1" applyProtection="1">
      <alignment horizontal="left" vertical="center"/>
      <protection locked="0"/>
    </xf>
    <xf numFmtId="0" fontId="66" fillId="0" borderId="23" xfId="32" applyNumberFormat="1" applyFont="1" applyFill="1" applyBorder="1" applyAlignment="1" applyProtection="1">
      <alignment horizontal="left" vertical="center"/>
      <protection locked="0"/>
    </xf>
    <xf numFmtId="0" fontId="66" fillId="0" borderId="15" xfId="32" applyNumberFormat="1" applyFont="1" applyFill="1" applyBorder="1" applyAlignment="1" applyProtection="1">
      <alignment horizontal="left" vertical="center"/>
      <protection locked="0"/>
    </xf>
    <xf numFmtId="0" fontId="66" fillId="21" borderId="24" xfId="32" applyFont="1" applyFill="1" applyBorder="1" applyAlignment="1" applyProtection="1">
      <alignment horizontal="right" vertical="center"/>
    </xf>
    <xf numFmtId="0" fontId="66" fillId="21" borderId="23" xfId="32" applyFont="1" applyFill="1" applyBorder="1" applyAlignment="1" applyProtection="1">
      <alignment horizontal="right" vertical="center"/>
    </xf>
    <xf numFmtId="0" fontId="66" fillId="21" borderId="15" xfId="32" applyFont="1" applyFill="1" applyBorder="1" applyAlignment="1" applyProtection="1">
      <alignment horizontal="right" vertical="center"/>
    </xf>
    <xf numFmtId="49" fontId="66" fillId="21" borderId="39" xfId="32" applyNumberFormat="1" applyFont="1" applyFill="1" applyBorder="1" applyAlignment="1" applyProtection="1">
      <alignment horizontal="left" vertical="center"/>
    </xf>
    <xf numFmtId="49" fontId="66" fillId="21" borderId="26" xfId="32" applyNumberFormat="1" applyFont="1" applyFill="1" applyBorder="1" applyAlignment="1" applyProtection="1">
      <alignment horizontal="left" vertical="center"/>
    </xf>
    <xf numFmtId="0" fontId="67" fillId="0" borderId="24" xfId="32" applyFont="1" applyBorder="1" applyAlignment="1">
      <alignment horizontal="right" vertical="center"/>
    </xf>
    <xf numFmtId="0" fontId="67" fillId="0" borderId="23" xfId="32" applyFont="1" applyBorder="1" applyAlignment="1">
      <alignment horizontal="right" vertical="center"/>
    </xf>
    <xf numFmtId="0" fontId="67" fillId="0" borderId="15" xfId="32" applyFont="1" applyBorder="1" applyAlignment="1">
      <alignment horizontal="right" vertical="center"/>
    </xf>
    <xf numFmtId="49" fontId="26" fillId="3" borderId="30" xfId="0" applyNumberFormat="1" applyFont="1" applyFill="1" applyBorder="1" applyAlignment="1" applyProtection="1">
      <alignment horizontal="left" vertical="center"/>
      <protection locked="0"/>
    </xf>
    <xf numFmtId="49" fontId="26" fillId="3" borderId="28" xfId="0" applyNumberFormat="1" applyFont="1" applyFill="1" applyBorder="1" applyAlignment="1" applyProtection="1">
      <alignment horizontal="left" vertical="center"/>
      <protection locked="0"/>
    </xf>
    <xf numFmtId="49" fontId="26" fillId="3" borderId="19" xfId="0" applyNumberFormat="1" applyFont="1" applyFill="1" applyBorder="1" applyAlignment="1" applyProtection="1">
      <alignment horizontal="left" vertical="center"/>
      <protection locked="0"/>
    </xf>
    <xf numFmtId="0" fontId="66" fillId="0" borderId="24" xfId="32" applyFont="1" applyBorder="1" applyAlignment="1">
      <alignment horizontal="right" vertical="center"/>
    </xf>
    <xf numFmtId="0" fontId="66" fillId="0" borderId="23" xfId="32" applyFont="1" applyBorder="1" applyAlignment="1">
      <alignment horizontal="right" vertical="center"/>
    </xf>
    <xf numFmtId="0" fontId="66" fillId="0" borderId="15" xfId="32" applyFont="1" applyBorder="1" applyAlignment="1">
      <alignment horizontal="right" vertical="center"/>
    </xf>
    <xf numFmtId="49" fontId="67" fillId="0" borderId="24" xfId="32" applyNumberFormat="1" applyFont="1" applyFill="1" applyBorder="1" applyAlignment="1">
      <alignment horizontal="left" vertical="center"/>
    </xf>
    <xf numFmtId="49" fontId="67" fillId="0" borderId="23" xfId="32" applyNumberFormat="1" applyFont="1" applyFill="1" applyBorder="1" applyAlignment="1">
      <alignment horizontal="left" vertical="center"/>
    </xf>
    <xf numFmtId="49" fontId="67" fillId="0" borderId="15" xfId="32" applyNumberFormat="1" applyFont="1" applyFill="1" applyBorder="1" applyAlignment="1">
      <alignment horizontal="left" vertical="center"/>
    </xf>
    <xf numFmtId="49" fontId="26" fillId="3" borderId="24" xfId="0" applyNumberFormat="1" applyFont="1" applyFill="1" applyBorder="1" applyAlignment="1" applyProtection="1">
      <alignment horizontal="left" vertical="center"/>
      <protection locked="0"/>
    </xf>
    <xf numFmtId="49" fontId="26" fillId="3" borderId="23" xfId="0" applyNumberFormat="1" applyFont="1" applyFill="1" applyBorder="1" applyAlignment="1" applyProtection="1">
      <alignment horizontal="left" vertical="center"/>
      <protection locked="0"/>
    </xf>
    <xf numFmtId="49" fontId="26" fillId="3" borderId="15" xfId="0" applyNumberFormat="1" applyFont="1" applyFill="1" applyBorder="1" applyAlignment="1" applyProtection="1">
      <alignment horizontal="left" vertical="center"/>
      <protection locked="0"/>
    </xf>
    <xf numFmtId="0" fontId="66" fillId="0" borderId="36" xfId="32" applyFont="1" applyBorder="1" applyAlignment="1">
      <alignment horizontal="right" vertical="center"/>
    </xf>
    <xf numFmtId="0" fontId="66" fillId="0" borderId="37" xfId="32" applyFont="1" applyBorder="1" applyAlignment="1">
      <alignment horizontal="right" vertical="center"/>
    </xf>
    <xf numFmtId="0" fontId="66" fillId="0" borderId="18" xfId="32" applyFont="1" applyBorder="1" applyAlignment="1">
      <alignment horizontal="right" vertical="center"/>
    </xf>
    <xf numFmtId="49" fontId="67" fillId="0" borderId="36" xfId="32" applyNumberFormat="1" applyFont="1" applyFill="1" applyBorder="1" applyAlignment="1">
      <alignment horizontal="left" vertical="center"/>
    </xf>
    <xf numFmtId="49" fontId="67" fillId="0" borderId="37" xfId="32" applyNumberFormat="1" applyFont="1" applyFill="1" applyBorder="1" applyAlignment="1">
      <alignment horizontal="left" vertical="center"/>
    </xf>
    <xf numFmtId="49" fontId="67" fillId="0" borderId="18" xfId="32" applyNumberFormat="1" applyFont="1" applyFill="1" applyBorder="1" applyAlignment="1">
      <alignment horizontal="left" vertical="center"/>
    </xf>
    <xf numFmtId="0" fontId="66" fillId="21" borderId="38" xfId="32" applyFont="1" applyFill="1" applyBorder="1" applyAlignment="1" applyProtection="1">
      <alignment horizontal="center" vertical="center"/>
    </xf>
    <xf numFmtId="0" fontId="66" fillId="21" borderId="9" xfId="32" applyFont="1" applyFill="1" applyBorder="1" applyAlignment="1" applyProtection="1">
      <alignment horizontal="center" vertical="center"/>
    </xf>
    <xf numFmtId="0" fontId="66" fillId="21" borderId="10" xfId="32" applyFont="1" applyFill="1" applyBorder="1" applyAlignment="1" applyProtection="1">
      <alignment horizontal="center" vertical="center"/>
    </xf>
    <xf numFmtId="0" fontId="69" fillId="29" borderId="8" xfId="32" applyNumberFormat="1" applyFont="1" applyFill="1" applyBorder="1" applyAlignment="1" applyProtection="1">
      <alignment horizontal="center" vertical="center"/>
    </xf>
    <xf numFmtId="0" fontId="69" fillId="29" borderId="3" xfId="32" applyNumberFormat="1" applyFont="1" applyFill="1" applyBorder="1" applyAlignment="1" applyProtection="1">
      <alignment horizontal="center" vertical="center"/>
    </xf>
    <xf numFmtId="0" fontId="69" fillId="29" borderId="24" xfId="32" applyNumberFormat="1" applyFont="1" applyFill="1" applyBorder="1" applyAlignment="1" applyProtection="1">
      <alignment horizontal="center" vertical="center"/>
    </xf>
    <xf numFmtId="0" fontId="69" fillId="29" borderId="23" xfId="32" applyNumberFormat="1" applyFont="1" applyFill="1" applyBorder="1" applyAlignment="1" applyProtection="1">
      <alignment horizontal="center" vertical="center"/>
    </xf>
    <xf numFmtId="0" fontId="69" fillId="29" borderId="15" xfId="32" applyNumberFormat="1" applyFont="1" applyFill="1" applyBorder="1" applyAlignment="1" applyProtection="1">
      <alignment horizontal="center" vertical="center"/>
    </xf>
    <xf numFmtId="0" fontId="69" fillId="29" borderId="30" xfId="32" applyNumberFormat="1" applyFont="1" applyFill="1" applyBorder="1" applyAlignment="1" applyProtection="1">
      <alignment horizontal="center" vertical="center"/>
    </xf>
    <xf numFmtId="0" fontId="69" fillId="29" borderId="28" xfId="32" applyNumberFormat="1" applyFont="1" applyFill="1" applyBorder="1" applyAlignment="1" applyProtection="1">
      <alignment horizontal="center" vertical="center"/>
    </xf>
    <xf numFmtId="0" fontId="69" fillId="29" borderId="19" xfId="32" applyNumberFormat="1" applyFont="1" applyFill="1" applyBorder="1" applyAlignment="1" applyProtection="1">
      <alignment horizontal="center" vertical="center"/>
    </xf>
    <xf numFmtId="0" fontId="66" fillId="0" borderId="25" xfId="32" applyFont="1" applyBorder="1" applyAlignment="1">
      <alignment horizontal="right" vertical="center"/>
    </xf>
    <xf numFmtId="0" fontId="66" fillId="0" borderId="33" xfId="32" applyFont="1" applyBorder="1" applyAlignment="1">
      <alignment horizontal="right" vertical="center"/>
    </xf>
    <xf numFmtId="0" fontId="66" fillId="0" borderId="6" xfId="32" applyFont="1" applyBorder="1" applyAlignment="1">
      <alignment horizontal="right" vertical="center"/>
    </xf>
    <xf numFmtId="0" fontId="66" fillId="0" borderId="24" xfId="32" applyFont="1" applyBorder="1" applyAlignment="1" applyProtection="1">
      <alignment horizontal="right" vertical="center"/>
    </xf>
    <xf numFmtId="0" fontId="66" fillId="0" borderId="23" xfId="32" applyFont="1" applyBorder="1" applyAlignment="1" applyProtection="1">
      <alignment horizontal="right" vertical="center"/>
    </xf>
    <xf numFmtId="0" fontId="66" fillId="0" borderId="15" xfId="32" applyFont="1" applyBorder="1" applyAlignment="1" applyProtection="1">
      <alignment horizontal="right" vertical="center"/>
    </xf>
    <xf numFmtId="49" fontId="69" fillId="29" borderId="24" xfId="32" applyNumberFormat="1" applyFont="1" applyFill="1" applyBorder="1" applyAlignment="1" applyProtection="1">
      <alignment horizontal="center" vertical="center"/>
    </xf>
    <xf numFmtId="49" fontId="69" fillId="29" borderId="23" xfId="32" applyNumberFormat="1" applyFont="1" applyFill="1" applyBorder="1" applyAlignment="1" applyProtection="1">
      <alignment horizontal="center" vertical="center"/>
    </xf>
    <xf numFmtId="49" fontId="69" fillId="29" borderId="15" xfId="32" applyNumberFormat="1" applyFont="1" applyFill="1" applyBorder="1" applyAlignment="1" applyProtection="1">
      <alignment horizontal="center" vertical="center"/>
    </xf>
    <xf numFmtId="49" fontId="69" fillId="3" borderId="29" xfId="32" applyNumberFormat="1" applyFont="1" applyFill="1" applyBorder="1" applyAlignment="1" applyProtection="1">
      <alignment horizontal="center" vertical="center"/>
      <protection locked="0"/>
    </xf>
    <xf numFmtId="49" fontId="69" fillId="3" borderId="22" xfId="32" applyNumberFormat="1" applyFont="1" applyFill="1" applyBorder="1" applyAlignment="1" applyProtection="1">
      <alignment horizontal="center" vertical="center"/>
      <protection locked="0"/>
    </xf>
    <xf numFmtId="49" fontId="69" fillId="3" borderId="14" xfId="32" applyNumberFormat="1" applyFont="1" applyFill="1" applyBorder="1" applyAlignment="1" applyProtection="1">
      <alignment horizontal="center" vertical="center"/>
      <protection locked="0"/>
    </xf>
    <xf numFmtId="0" fontId="66" fillId="21" borderId="40" xfId="32" applyFont="1" applyFill="1" applyBorder="1" applyAlignment="1" applyProtection="1">
      <alignment horizontal="center" vertical="center"/>
    </xf>
    <xf numFmtId="0" fontId="66" fillId="21" borderId="11" xfId="32" applyFont="1" applyFill="1" applyBorder="1" applyAlignment="1" applyProtection="1">
      <alignment horizontal="center" vertical="center"/>
    </xf>
    <xf numFmtId="0" fontId="66" fillId="21" borderId="41" xfId="32" applyFont="1" applyFill="1" applyBorder="1" applyAlignment="1" applyProtection="1">
      <alignment horizontal="center" vertical="center"/>
    </xf>
    <xf numFmtId="0" fontId="66" fillId="21" borderId="27" xfId="32" applyFont="1" applyFill="1" applyBorder="1" applyAlignment="1" applyProtection="1">
      <alignment horizontal="center" vertical="center"/>
    </xf>
    <xf numFmtId="0" fontId="66" fillId="21" borderId="0" xfId="32" applyFont="1" applyFill="1" applyBorder="1" applyAlignment="1" applyProtection="1">
      <alignment horizontal="center" vertical="center"/>
    </xf>
    <xf numFmtId="0" fontId="66" fillId="21" borderId="16" xfId="32" applyFont="1" applyFill="1" applyBorder="1" applyAlignment="1" applyProtection="1">
      <alignment horizontal="center" vertical="center"/>
    </xf>
    <xf numFmtId="0" fontId="66" fillId="21" borderId="42" xfId="32" applyFont="1" applyFill="1" applyBorder="1" applyAlignment="1" applyProtection="1">
      <alignment horizontal="center" vertical="center"/>
    </xf>
    <xf numFmtId="0" fontId="66" fillId="21" borderId="20" xfId="32" applyFont="1" applyFill="1" applyBorder="1" applyAlignment="1" applyProtection="1">
      <alignment horizontal="center" vertical="center"/>
    </xf>
    <xf numFmtId="0" fontId="66" fillId="21" borderId="43" xfId="32" applyFont="1" applyFill="1" applyBorder="1" applyAlignment="1" applyProtection="1">
      <alignment horizontal="center" vertical="center"/>
    </xf>
    <xf numFmtId="0" fontId="69" fillId="29" borderId="29" xfId="32" applyNumberFormat="1" applyFont="1" applyFill="1" applyBorder="1" applyAlignment="1" applyProtection="1">
      <alignment horizontal="center" vertical="center"/>
    </xf>
    <xf numFmtId="0" fontId="69" fillId="29" borderId="22" xfId="32" applyNumberFormat="1" applyFont="1" applyFill="1" applyBorder="1" applyAlignment="1" applyProtection="1">
      <alignment horizontal="center" vertical="center"/>
    </xf>
    <xf numFmtId="0" fontId="69" fillId="29" borderId="14" xfId="32" applyNumberFormat="1" applyFont="1" applyFill="1" applyBorder="1" applyAlignment="1" applyProtection="1">
      <alignment horizontal="center" vertical="center"/>
    </xf>
    <xf numFmtId="49" fontId="27" fillId="3" borderId="24" xfId="0" applyNumberFormat="1" applyFont="1" applyFill="1" applyBorder="1" applyAlignment="1" applyProtection="1">
      <alignment horizontal="left" vertical="center"/>
      <protection locked="0"/>
    </xf>
    <xf numFmtId="49" fontId="27" fillId="3" borderId="23" xfId="0" applyNumberFormat="1" applyFont="1" applyFill="1" applyBorder="1" applyAlignment="1" applyProtection="1">
      <alignment horizontal="left" vertical="center"/>
      <protection locked="0"/>
    </xf>
    <xf numFmtId="49" fontId="27" fillId="3" borderId="15" xfId="0" applyNumberFormat="1" applyFont="1" applyFill="1" applyBorder="1" applyAlignment="1" applyProtection="1">
      <alignment horizontal="left" vertical="center"/>
      <protection locked="0"/>
    </xf>
    <xf numFmtId="49" fontId="78" fillId="0" borderId="0" xfId="32" applyNumberFormat="1" applyFont="1" applyBorder="1" applyAlignment="1">
      <alignment horizontal="center" vertical="center"/>
    </xf>
    <xf numFmtId="0" fontId="66" fillId="0" borderId="0" xfId="32" applyNumberFormat="1" applyFont="1" applyBorder="1" applyAlignment="1">
      <alignment horizontal="center" vertical="center"/>
    </xf>
    <xf numFmtId="49" fontId="66" fillId="40" borderId="35" xfId="32" applyNumberFormat="1" applyFont="1" applyFill="1" applyBorder="1" applyAlignment="1">
      <alignment horizontal="center" vertical="center"/>
    </xf>
    <xf numFmtId="49" fontId="66" fillId="40" borderId="34" xfId="32" applyNumberFormat="1" applyFont="1" applyFill="1" applyBorder="1" applyAlignment="1">
      <alignment horizontal="center" vertical="center"/>
    </xf>
    <xf numFmtId="0" fontId="66" fillId="40" borderId="29" xfId="32" applyFont="1" applyFill="1" applyBorder="1" applyAlignment="1">
      <alignment horizontal="center" vertical="center"/>
    </xf>
    <xf numFmtId="0" fontId="66" fillId="40" borderId="22" xfId="32" applyFont="1" applyFill="1" applyBorder="1" applyAlignment="1">
      <alignment horizontal="center" vertical="center"/>
    </xf>
    <xf numFmtId="0" fontId="66" fillId="40" borderId="14" xfId="32" applyFont="1" applyFill="1" applyBorder="1" applyAlignment="1">
      <alignment horizontal="center" vertical="center"/>
    </xf>
    <xf numFmtId="0" fontId="66" fillId="40" borderId="30" xfId="32" applyFont="1" applyFill="1" applyBorder="1" applyAlignment="1">
      <alignment horizontal="center" vertical="center"/>
    </xf>
    <xf numFmtId="0" fontId="66" fillId="40" borderId="28" xfId="32" applyFont="1" applyFill="1" applyBorder="1" applyAlignment="1">
      <alignment horizontal="center" vertical="center"/>
    </xf>
    <xf numFmtId="0" fontId="66" fillId="40" borderId="19" xfId="32" applyFont="1" applyFill="1" applyBorder="1" applyAlignment="1">
      <alignment horizontal="center" vertical="center"/>
    </xf>
    <xf numFmtId="0" fontId="68" fillId="40" borderId="30" xfId="32" applyFont="1" applyFill="1" applyBorder="1" applyAlignment="1">
      <alignment horizontal="center" vertical="center"/>
    </xf>
    <xf numFmtId="0" fontId="68" fillId="40" borderId="28" xfId="32" applyFont="1" applyFill="1" applyBorder="1" applyAlignment="1">
      <alignment horizontal="center" vertical="center"/>
    </xf>
    <xf numFmtId="0" fontId="68" fillId="40" borderId="19" xfId="32" applyFont="1" applyFill="1" applyBorder="1" applyAlignment="1">
      <alignment horizontal="center" vertical="center"/>
    </xf>
    <xf numFmtId="0" fontId="66" fillId="0" borderId="29" xfId="32" applyFont="1" applyBorder="1" applyAlignment="1">
      <alignment horizontal="right" vertical="center"/>
    </xf>
    <xf numFmtId="0" fontId="66" fillId="0" borderId="22" xfId="32" applyFont="1" applyBorder="1" applyAlignment="1">
      <alignment horizontal="right" vertical="center"/>
    </xf>
    <xf numFmtId="0" fontId="66" fillId="0" borderId="14" xfId="32" applyFont="1" applyBorder="1" applyAlignment="1">
      <alignment horizontal="right" vertical="center"/>
    </xf>
    <xf numFmtId="49" fontId="26" fillId="3" borderId="29" xfId="0" applyNumberFormat="1" applyFont="1" applyFill="1" applyBorder="1" applyAlignment="1" applyProtection="1">
      <alignment horizontal="left" vertical="center"/>
      <protection locked="0"/>
    </xf>
    <xf numFmtId="49" fontId="26" fillId="3" borderId="22" xfId="0" applyNumberFormat="1" applyFont="1" applyFill="1" applyBorder="1" applyAlignment="1" applyProtection="1">
      <alignment horizontal="left" vertical="center"/>
      <protection locked="0"/>
    </xf>
    <xf numFmtId="49" fontId="26" fillId="3" borderId="14" xfId="0" applyNumberFormat="1" applyFont="1" applyFill="1" applyBorder="1" applyAlignment="1" applyProtection="1">
      <alignment horizontal="left" vertical="center"/>
      <protection locked="0"/>
    </xf>
    <xf numFmtId="49" fontId="67" fillId="3" borderId="24" xfId="32" applyNumberFormat="1" applyFont="1" applyFill="1" applyBorder="1" applyAlignment="1" applyProtection="1">
      <alignment horizontal="left" vertical="center"/>
      <protection locked="0"/>
    </xf>
    <xf numFmtId="49" fontId="67" fillId="3" borderId="23" xfId="32" applyNumberFormat="1" applyFont="1" applyFill="1" applyBorder="1" applyAlignment="1" applyProtection="1">
      <alignment horizontal="left" vertical="center"/>
      <protection locked="0"/>
    </xf>
    <xf numFmtId="49" fontId="67" fillId="3" borderId="15" xfId="32" applyNumberFormat="1" applyFont="1" applyFill="1" applyBorder="1" applyAlignment="1" applyProtection="1">
      <alignment horizontal="left" vertical="center"/>
      <protection locked="0"/>
    </xf>
    <xf numFmtId="0" fontId="4" fillId="30" borderId="24" xfId="0" applyFont="1" applyFill="1" applyBorder="1" applyAlignment="1">
      <alignment horizontal="right" vertical="center"/>
    </xf>
    <xf numFmtId="0" fontId="4" fillId="30" borderId="23" xfId="0" applyFont="1" applyFill="1" applyBorder="1" applyAlignment="1">
      <alignment horizontal="right" vertical="center"/>
    </xf>
    <xf numFmtId="0" fontId="4" fillId="30" borderId="15" xfId="0" applyFont="1" applyFill="1" applyBorder="1" applyAlignment="1">
      <alignment horizontal="right" vertical="center"/>
    </xf>
    <xf numFmtId="49" fontId="7" fillId="30" borderId="0" xfId="0" applyNumberFormat="1" applyFont="1" applyFill="1" applyBorder="1" applyAlignment="1">
      <alignment horizontal="center" vertical="center" wrapText="1"/>
    </xf>
    <xf numFmtId="49" fontId="7" fillId="30" borderId="0" xfId="0" applyNumberFormat="1" applyFont="1" applyFill="1" applyBorder="1" applyAlignment="1">
      <alignment horizontal="center" vertical="center"/>
    </xf>
    <xf numFmtId="0" fontId="12" fillId="30" borderId="0" xfId="0" applyNumberFormat="1" applyFont="1" applyFill="1" applyBorder="1" applyAlignment="1">
      <alignment horizontal="center" vertical="center"/>
    </xf>
    <xf numFmtId="49" fontId="12" fillId="40" borderId="35" xfId="0" applyNumberFormat="1" applyFont="1" applyFill="1" applyBorder="1" applyAlignment="1">
      <alignment horizontal="center" vertical="center"/>
    </xf>
    <xf numFmtId="49" fontId="12" fillId="40" borderId="34" xfId="0" applyNumberFormat="1" applyFont="1" applyFill="1" applyBorder="1" applyAlignment="1">
      <alignment horizontal="center" vertical="center"/>
    </xf>
    <xf numFmtId="0" fontId="12" fillId="40" borderId="29" xfId="0" applyFont="1" applyFill="1" applyBorder="1" applyAlignment="1">
      <alignment horizontal="center" vertical="center"/>
    </xf>
    <xf numFmtId="0" fontId="12" fillId="40" borderId="22" xfId="0" applyFont="1" applyFill="1" applyBorder="1" applyAlignment="1">
      <alignment horizontal="center" vertical="center"/>
    </xf>
    <xf numFmtId="0" fontId="12" fillId="40" borderId="14" xfId="0" applyFont="1" applyFill="1" applyBorder="1" applyAlignment="1">
      <alignment horizontal="center" vertical="center"/>
    </xf>
    <xf numFmtId="0" fontId="12" fillId="40" borderId="30" xfId="0" applyFont="1" applyFill="1" applyBorder="1" applyAlignment="1">
      <alignment horizontal="center" vertical="center"/>
    </xf>
    <xf numFmtId="0" fontId="12" fillId="40" borderId="28" xfId="0" applyFont="1" applyFill="1" applyBorder="1" applyAlignment="1">
      <alignment horizontal="center" vertical="center"/>
    </xf>
    <xf numFmtId="0" fontId="12" fillId="40" borderId="19" xfId="0" applyFont="1" applyFill="1" applyBorder="1" applyAlignment="1">
      <alignment horizontal="center" vertical="center"/>
    </xf>
    <xf numFmtId="0" fontId="25" fillId="40" borderId="30" xfId="0" applyFont="1" applyFill="1" applyBorder="1" applyAlignment="1">
      <alignment horizontal="center" vertical="center"/>
    </xf>
    <xf numFmtId="0" fontId="25" fillId="40" borderId="28" xfId="0" applyFont="1" applyFill="1" applyBorder="1" applyAlignment="1">
      <alignment horizontal="center" vertical="center"/>
    </xf>
    <xf numFmtId="0" fontId="25" fillId="40" borderId="19" xfId="0" applyFont="1" applyFill="1" applyBorder="1" applyAlignment="1">
      <alignment horizontal="center" vertical="center"/>
    </xf>
    <xf numFmtId="0" fontId="13" fillId="30" borderId="1" xfId="0" applyFont="1" applyFill="1" applyBorder="1" applyAlignment="1">
      <alignment horizontal="left" vertical="center"/>
    </xf>
    <xf numFmtId="0" fontId="13" fillId="30" borderId="8" xfId="0" applyFont="1" applyFill="1" applyBorder="1" applyAlignment="1">
      <alignment horizontal="left" vertical="center"/>
    </xf>
    <xf numFmtId="0" fontId="13" fillId="30" borderId="3" xfId="0" applyFont="1" applyFill="1" applyBorder="1" applyAlignment="1">
      <alignment horizontal="left" vertical="center"/>
    </xf>
    <xf numFmtId="0" fontId="25" fillId="30" borderId="1" xfId="0" applyFont="1" applyFill="1" applyBorder="1" applyAlignment="1">
      <alignment horizontal="center" vertical="center"/>
    </xf>
    <xf numFmtId="0" fontId="25" fillId="30" borderId="8" xfId="0" applyFont="1" applyFill="1" applyBorder="1" applyAlignment="1">
      <alignment horizontal="center" vertical="center"/>
    </xf>
    <xf numFmtId="0" fontId="25" fillId="30" borderId="3" xfId="0" applyFont="1" applyFill="1" applyBorder="1" applyAlignment="1">
      <alignment horizontal="center" vertical="center"/>
    </xf>
    <xf numFmtId="0" fontId="4" fillId="30" borderId="29" xfId="0" applyFont="1" applyFill="1" applyBorder="1" applyAlignment="1">
      <alignment horizontal="right" vertical="center"/>
    </xf>
    <xf numFmtId="0" fontId="4" fillId="30" borderId="22" xfId="0" applyFont="1" applyFill="1" applyBorder="1" applyAlignment="1">
      <alignment horizontal="right" vertical="center"/>
    </xf>
    <xf numFmtId="0" fontId="4" fillId="30" borderId="14" xfId="0" applyFont="1" applyFill="1" applyBorder="1" applyAlignment="1">
      <alignment horizontal="right" vertical="center"/>
    </xf>
    <xf numFmtId="0" fontId="13" fillId="21" borderId="24" xfId="0" applyFont="1" applyFill="1" applyBorder="1" applyAlignment="1" applyProtection="1">
      <alignment horizontal="right" vertical="center"/>
    </xf>
    <xf numFmtId="0" fontId="13" fillId="21" borderId="23" xfId="0" applyFont="1" applyFill="1" applyBorder="1" applyAlignment="1" applyProtection="1">
      <alignment horizontal="right" vertical="center"/>
    </xf>
    <xf numFmtId="0" fontId="13" fillId="21" borderId="15" xfId="0" applyFont="1" applyFill="1" applyBorder="1" applyAlignment="1" applyProtection="1">
      <alignment horizontal="right" vertical="center"/>
    </xf>
    <xf numFmtId="0" fontId="4" fillId="30" borderId="30" xfId="0" applyFont="1" applyFill="1" applyBorder="1" applyAlignment="1">
      <alignment horizontal="right" vertical="center"/>
    </xf>
    <xf numFmtId="0" fontId="4" fillId="30" borderId="28" xfId="0" applyFont="1" applyFill="1" applyBorder="1" applyAlignment="1">
      <alignment horizontal="right" vertical="center"/>
    </xf>
    <xf numFmtId="0" fontId="4" fillId="30" borderId="19" xfId="0" applyFont="1" applyFill="1" applyBorder="1" applyAlignment="1">
      <alignment horizontal="right" vertical="center"/>
    </xf>
    <xf numFmtId="0" fontId="13" fillId="21" borderId="29" xfId="0" applyFont="1" applyFill="1" applyBorder="1" applyAlignment="1" applyProtection="1">
      <alignment horizontal="right" vertical="center"/>
    </xf>
    <xf numFmtId="0" fontId="13" fillId="21" borderId="22" xfId="0" applyFont="1" applyFill="1" applyBorder="1" applyAlignment="1" applyProtection="1">
      <alignment horizontal="right" vertical="center"/>
    </xf>
    <xf numFmtId="0" fontId="13" fillId="21" borderId="14" xfId="0" applyFont="1" applyFill="1" applyBorder="1" applyAlignment="1" applyProtection="1">
      <alignment horizontal="right" vertical="center"/>
    </xf>
    <xf numFmtId="0" fontId="4" fillId="30" borderId="24" xfId="0" applyFont="1" applyFill="1" applyBorder="1" applyAlignment="1">
      <alignment horizontal="right"/>
    </xf>
    <xf numFmtId="0" fontId="4" fillId="30" borderId="23" xfId="0" applyFont="1" applyFill="1" applyBorder="1" applyAlignment="1">
      <alignment horizontal="right"/>
    </xf>
    <xf numFmtId="0" fontId="4" fillId="30" borderId="15" xfId="0" applyFont="1" applyFill="1" applyBorder="1" applyAlignment="1">
      <alignment horizontal="right"/>
    </xf>
    <xf numFmtId="0" fontId="5" fillId="30" borderId="24" xfId="0" applyFont="1" applyFill="1" applyBorder="1" applyAlignment="1">
      <alignment horizontal="right"/>
    </xf>
    <xf numFmtId="0" fontId="5" fillId="30" borderId="23" xfId="0" applyFont="1" applyFill="1" applyBorder="1" applyAlignment="1">
      <alignment horizontal="right"/>
    </xf>
    <xf numFmtId="0" fontId="5" fillId="30" borderId="15" xfId="0" applyFont="1" applyFill="1" applyBorder="1" applyAlignment="1">
      <alignment horizontal="right"/>
    </xf>
    <xf numFmtId="0" fontId="4" fillId="30" borderId="30" xfId="0" applyFont="1" applyFill="1" applyBorder="1" applyAlignment="1">
      <alignment horizontal="right"/>
    </xf>
    <xf numFmtId="0" fontId="4" fillId="30" borderId="28" xfId="0" applyFont="1" applyFill="1" applyBorder="1" applyAlignment="1">
      <alignment horizontal="right"/>
    </xf>
    <xf numFmtId="0" fontId="4" fillId="30" borderId="19" xfId="0" applyFont="1" applyFill="1" applyBorder="1" applyAlignment="1">
      <alignment horizontal="right"/>
    </xf>
    <xf numFmtId="0" fontId="26" fillId="3" borderId="25" xfId="0" applyNumberFormat="1" applyFont="1" applyFill="1" applyBorder="1" applyAlignment="1" applyProtection="1">
      <alignment horizontal="left" vertical="center"/>
      <protection locked="0"/>
    </xf>
    <xf numFmtId="0" fontId="26" fillId="3" borderId="33" xfId="0" applyNumberFormat="1" applyFont="1" applyFill="1" applyBorder="1" applyAlignment="1" applyProtection="1">
      <alignment horizontal="left" vertical="center"/>
      <protection locked="0"/>
    </xf>
    <xf numFmtId="0" fontId="26" fillId="3" borderId="6" xfId="0" applyNumberFormat="1" applyFont="1" applyFill="1" applyBorder="1" applyAlignment="1" applyProtection="1">
      <alignment horizontal="left" vertical="center"/>
      <protection locked="0"/>
    </xf>
    <xf numFmtId="0" fontId="13" fillId="40" borderId="40" xfId="0" applyFont="1" applyFill="1" applyBorder="1" applyAlignment="1" applyProtection="1">
      <alignment horizontal="center" vertical="center" wrapText="1"/>
    </xf>
    <xf numFmtId="0" fontId="13" fillId="40" borderId="41" xfId="0" applyFont="1" applyFill="1" applyBorder="1" applyAlignment="1" applyProtection="1">
      <alignment horizontal="center" vertical="center" wrapText="1"/>
    </xf>
    <xf numFmtId="0" fontId="13" fillId="40" borderId="38" xfId="0" applyFont="1" applyFill="1" applyBorder="1" applyAlignment="1" applyProtection="1">
      <alignment horizontal="center" vertical="center"/>
    </xf>
    <xf numFmtId="0" fontId="13" fillId="40" borderId="9" xfId="0" applyFont="1" applyFill="1" applyBorder="1" applyAlignment="1" applyProtection="1">
      <alignment horizontal="center" vertical="center"/>
    </xf>
    <xf numFmtId="0" fontId="13" fillId="40" borderId="10" xfId="0" applyFont="1" applyFill="1" applyBorder="1" applyAlignment="1" applyProtection="1">
      <alignment horizontal="center" vertical="center"/>
    </xf>
    <xf numFmtId="0" fontId="12" fillId="0" borderId="0" xfId="0" applyFont="1" applyFill="1" applyBorder="1" applyAlignment="1">
      <alignment horizontal="center" vertical="center" wrapText="1"/>
    </xf>
    <xf numFmtId="0" fontId="7" fillId="0" borderId="0" xfId="0" applyFont="1" applyAlignment="1">
      <alignment horizontal="center" vertical="center" wrapText="1"/>
    </xf>
    <xf numFmtId="0" fontId="12" fillId="0" borderId="0" xfId="0" applyFont="1" applyFill="1" applyAlignment="1">
      <alignment horizontal="center" vertical="center" wrapText="1"/>
    </xf>
    <xf numFmtId="0" fontId="13" fillId="40" borderId="51" xfId="0" applyFont="1" applyFill="1" applyBorder="1" applyAlignment="1" applyProtection="1">
      <alignment horizontal="center" vertical="center" wrapText="1"/>
    </xf>
    <xf numFmtId="0" fontId="13" fillId="40" borderId="39" xfId="0" applyFont="1" applyFill="1" applyBorder="1" applyAlignment="1" applyProtection="1">
      <alignment horizontal="center" vertical="center" wrapText="1"/>
    </xf>
    <xf numFmtId="0" fontId="5" fillId="0" borderId="0" xfId="0" applyFont="1" applyAlignment="1">
      <alignment horizontal="center" vertical="center"/>
    </xf>
    <xf numFmtId="0" fontId="13" fillId="40" borderId="76" xfId="0" applyFont="1" applyFill="1" applyBorder="1" applyAlignment="1" applyProtection="1">
      <alignment horizontal="center" vertical="center" wrapText="1"/>
    </xf>
    <xf numFmtId="0" fontId="13" fillId="40" borderId="55" xfId="0" applyFont="1" applyFill="1" applyBorder="1" applyAlignment="1" applyProtection="1">
      <alignment horizontal="center" vertical="center" wrapText="1"/>
    </xf>
    <xf numFmtId="0" fontId="13" fillId="40" borderId="72" xfId="0" applyFont="1" applyFill="1" applyBorder="1" applyAlignment="1" applyProtection="1">
      <alignment horizontal="center" vertical="center" wrapText="1"/>
    </xf>
    <xf numFmtId="0" fontId="13" fillId="40" borderId="69" xfId="0" applyFont="1" applyFill="1" applyBorder="1" applyAlignment="1" applyProtection="1">
      <alignment horizontal="center" vertical="center" wrapText="1"/>
    </xf>
    <xf numFmtId="0" fontId="4" fillId="0" borderId="51" xfId="0" applyFont="1" applyBorder="1" applyAlignment="1">
      <alignment horizontal="center" vertical="center"/>
    </xf>
    <xf numFmtId="0" fontId="4" fillId="0" borderId="17" xfId="0" applyFont="1" applyBorder="1" applyAlignment="1">
      <alignment horizontal="center" vertical="center"/>
    </xf>
    <xf numFmtId="0" fontId="4" fillId="0" borderId="21" xfId="0" applyFont="1" applyBorder="1" applyAlignment="1">
      <alignment horizontal="center" vertical="center"/>
    </xf>
    <xf numFmtId="0" fontId="4" fillId="0" borderId="3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5" xfId="0" applyFont="1" applyBorder="1" applyAlignment="1">
      <alignment horizontal="center" vertical="center"/>
    </xf>
    <xf numFmtId="0" fontId="4" fillId="0" borderId="34" xfId="0" applyFont="1" applyBorder="1" applyAlignment="1">
      <alignment horizontal="center" vertical="center"/>
    </xf>
    <xf numFmtId="0" fontId="7" fillId="0" borderId="0" xfId="0" applyFont="1" applyBorder="1" applyAlignment="1">
      <alignment horizontal="center" vertical="center" wrapText="1"/>
    </xf>
    <xf numFmtId="49" fontId="61" fillId="29" borderId="51" xfId="52" applyNumberFormat="1" applyFont="1" applyFill="1" applyBorder="1" applyAlignment="1" applyProtection="1">
      <alignment horizontal="center" vertical="center" wrapText="1"/>
    </xf>
    <xf numFmtId="49" fontId="61" fillId="29" borderId="17" xfId="52" applyNumberFormat="1" applyFont="1" applyFill="1" applyBorder="1" applyAlignment="1" applyProtection="1">
      <alignment horizontal="center" vertical="center" wrapText="1"/>
    </xf>
    <xf numFmtId="0" fontId="61" fillId="30" borderId="0" xfId="52" applyFont="1" applyFill="1" applyAlignment="1">
      <alignment horizontal="left" indent="1"/>
    </xf>
    <xf numFmtId="49" fontId="61" fillId="34" borderId="5" xfId="52" applyNumberFormat="1" applyFont="1" applyFill="1" applyBorder="1" applyAlignment="1" applyProtection="1">
      <alignment horizontal="center" vertical="center" wrapText="1"/>
    </xf>
    <xf numFmtId="49" fontId="61" fillId="34" borderId="17" xfId="52" applyNumberFormat="1" applyFont="1" applyFill="1" applyBorder="1" applyAlignment="1" applyProtection="1">
      <alignment horizontal="center" vertical="center" wrapText="1"/>
    </xf>
    <xf numFmtId="49" fontId="61" fillId="34" borderId="21" xfId="52" applyNumberFormat="1" applyFont="1" applyFill="1" applyBorder="1" applyAlignment="1" applyProtection="1">
      <alignment horizontal="center" vertical="center" wrapText="1"/>
    </xf>
    <xf numFmtId="0" fontId="61" fillId="34" borderId="5" xfId="52" applyFont="1" applyFill="1" applyBorder="1" applyAlignment="1" applyProtection="1">
      <alignment horizontal="center" vertical="center"/>
    </xf>
    <xf numFmtId="0" fontId="61" fillId="34" borderId="17" xfId="52" applyFont="1" applyFill="1" applyBorder="1" applyAlignment="1" applyProtection="1">
      <alignment horizontal="center" vertical="center"/>
    </xf>
    <xf numFmtId="0" fontId="61" fillId="34" borderId="21" xfId="52" applyFont="1" applyFill="1" applyBorder="1" applyAlignment="1" applyProtection="1">
      <alignment horizontal="center" vertical="center"/>
    </xf>
    <xf numFmtId="0" fontId="61" fillId="29" borderId="51" xfId="52" applyFont="1" applyFill="1" applyBorder="1" applyAlignment="1" applyProtection="1">
      <alignment horizontal="left" vertical="center" wrapText="1"/>
    </xf>
    <xf numFmtId="0" fontId="61" fillId="29" borderId="17" xfId="52" applyFont="1" applyFill="1" applyBorder="1" applyAlignment="1" applyProtection="1">
      <alignment horizontal="left" vertical="center" wrapText="1"/>
    </xf>
    <xf numFmtId="0" fontId="61" fillId="26" borderId="5" xfId="40" quotePrefix="1" applyFont="1" applyFill="1" applyBorder="1" applyAlignment="1" applyProtection="1">
      <alignment horizontal="center" vertical="center" wrapText="1"/>
    </xf>
    <xf numFmtId="0" fontId="61" fillId="26" borderId="39" xfId="40" quotePrefix="1" applyFont="1" applyFill="1" applyBorder="1" applyAlignment="1" applyProtection="1">
      <alignment horizontal="center" vertical="center" wrapText="1"/>
    </xf>
    <xf numFmtId="0" fontId="61" fillId="26" borderId="5" xfId="52" applyFont="1" applyFill="1" applyBorder="1" applyAlignment="1" applyProtection="1">
      <alignment horizontal="center" vertical="center" wrapText="1"/>
    </xf>
    <xf numFmtId="0" fontId="61" fillId="26" borderId="39" xfId="52" applyFont="1" applyFill="1" applyBorder="1" applyAlignment="1" applyProtection="1">
      <alignment horizontal="center" vertical="center" wrapText="1"/>
    </xf>
    <xf numFmtId="0" fontId="36" fillId="29" borderId="0" xfId="0" applyFont="1" applyFill="1" applyAlignment="1">
      <alignment horizontal="left" vertical="center" wrapText="1"/>
    </xf>
    <xf numFmtId="0" fontId="113" fillId="30" borderId="0" xfId="52" applyFont="1" applyFill="1" applyAlignment="1">
      <alignment horizontal="left" wrapText="1"/>
    </xf>
    <xf numFmtId="0" fontId="7" fillId="30" borderId="0" xfId="32" applyFont="1" applyFill="1" applyAlignment="1">
      <alignment horizontal="center" wrapText="1"/>
    </xf>
    <xf numFmtId="0" fontId="12" fillId="30" borderId="0" xfId="0" applyFont="1" applyFill="1" applyAlignment="1">
      <alignment horizontal="center"/>
    </xf>
    <xf numFmtId="49" fontId="61" fillId="34" borderId="39" xfId="52" applyNumberFormat="1" applyFont="1" applyFill="1" applyBorder="1" applyAlignment="1" applyProtection="1">
      <alignment horizontal="center" vertical="center" wrapText="1"/>
    </xf>
    <xf numFmtId="0" fontId="61" fillId="34" borderId="5" xfId="52" applyFont="1" applyFill="1" applyBorder="1" applyAlignment="1" applyProtection="1">
      <alignment horizontal="left" vertical="center"/>
    </xf>
    <xf numFmtId="0" fontId="61" fillId="34" borderId="39" xfId="52" applyFont="1" applyFill="1" applyBorder="1" applyAlignment="1" applyProtection="1">
      <alignment horizontal="left" vertical="center"/>
    </xf>
    <xf numFmtId="0" fontId="61" fillId="21" borderId="51" xfId="52" applyFont="1" applyFill="1" applyBorder="1" applyAlignment="1" applyProtection="1">
      <alignment horizontal="left" vertical="center" wrapText="1"/>
    </xf>
    <xf numFmtId="0" fontId="61" fillId="21" borderId="17" xfId="52" applyFont="1" applyFill="1" applyBorder="1" applyAlignment="1" applyProtection="1">
      <alignment horizontal="left" vertical="center" wrapText="1"/>
    </xf>
    <xf numFmtId="49" fontId="61" fillId="30" borderId="5" xfId="52" applyNumberFormat="1" applyFont="1" applyFill="1" applyBorder="1" applyAlignment="1" applyProtection="1">
      <alignment horizontal="center" vertical="center" wrapText="1"/>
    </xf>
    <xf numFmtId="49" fontId="61" fillId="30" borderId="17" xfId="52" applyNumberFormat="1" applyFont="1" applyFill="1" applyBorder="1" applyAlignment="1" applyProtection="1">
      <alignment horizontal="center" vertical="center" wrapText="1"/>
    </xf>
    <xf numFmtId="0" fontId="61" fillId="21" borderId="5" xfId="52" applyFont="1" applyFill="1" applyBorder="1" applyAlignment="1" applyProtection="1">
      <alignment horizontal="left" vertical="center" wrapText="1"/>
    </xf>
    <xf numFmtId="49" fontId="61" fillId="34" borderId="51" xfId="52" applyNumberFormat="1" applyFont="1" applyFill="1" applyBorder="1" applyAlignment="1" applyProtection="1">
      <alignment horizontal="center" vertical="center" wrapText="1"/>
    </xf>
    <xf numFmtId="0" fontId="61" fillId="34" borderId="51" xfId="52" applyFont="1" applyFill="1" applyBorder="1" applyAlignment="1" applyProtection="1">
      <alignment horizontal="left" vertical="center"/>
    </xf>
    <xf numFmtId="0" fontId="61" fillId="34" borderId="17" xfId="52" applyFont="1" applyFill="1" applyBorder="1" applyAlignment="1" applyProtection="1">
      <alignment horizontal="left" vertical="center"/>
    </xf>
    <xf numFmtId="0" fontId="89" fillId="30" borderId="0" xfId="52" applyFont="1" applyFill="1" applyAlignment="1"/>
    <xf numFmtId="0" fontId="61" fillId="29" borderId="51" xfId="52" applyFont="1" applyFill="1" applyBorder="1" applyAlignment="1" applyProtection="1">
      <alignment horizontal="left" vertical="center"/>
    </xf>
    <xf numFmtId="0" fontId="61" fillId="29" borderId="17" xfId="52" applyFont="1" applyFill="1" applyBorder="1" applyAlignment="1" applyProtection="1">
      <alignment horizontal="left" vertical="center"/>
    </xf>
    <xf numFmtId="0" fontId="7" fillId="30" borderId="0" xfId="32" applyFont="1" applyFill="1" applyAlignment="1" applyProtection="1">
      <alignment horizontal="center" vertical="center" wrapText="1"/>
    </xf>
    <xf numFmtId="0" fontId="12" fillId="30" borderId="0" xfId="32" applyFont="1" applyFill="1" applyAlignment="1" applyProtection="1">
      <alignment horizontal="center" vertical="center" wrapText="1"/>
    </xf>
    <xf numFmtId="0" fontId="11" fillId="30" borderId="20" xfId="32" applyFont="1" applyFill="1" applyBorder="1" applyAlignment="1" applyProtection="1">
      <alignment horizontal="center" vertical="center" wrapText="1"/>
    </xf>
    <xf numFmtId="0" fontId="34" fillId="29" borderId="0" xfId="0" applyFont="1" applyFill="1" applyAlignment="1">
      <alignment horizontal="left" vertical="center" wrapText="1"/>
    </xf>
    <xf numFmtId="0" fontId="33" fillId="40" borderId="40" xfId="32" applyFont="1" applyFill="1" applyBorder="1" applyAlignment="1" applyProtection="1">
      <alignment horizontal="center" vertical="center" wrapText="1"/>
    </xf>
    <xf numFmtId="0" fontId="33" fillId="40" borderId="11" xfId="32" applyFont="1" applyFill="1" applyBorder="1" applyAlignment="1" applyProtection="1">
      <alignment horizontal="center" vertical="center" wrapText="1"/>
    </xf>
    <xf numFmtId="0" fontId="33" fillId="40" borderId="41" xfId="32" applyFont="1" applyFill="1" applyBorder="1" applyAlignment="1" applyProtection="1">
      <alignment horizontal="center" vertical="center" wrapText="1"/>
    </xf>
    <xf numFmtId="0" fontId="33" fillId="40" borderId="25" xfId="32" applyFont="1" applyFill="1" applyBorder="1" applyAlignment="1" applyProtection="1">
      <alignment horizontal="center" vertical="center" wrapText="1"/>
    </xf>
    <xf numFmtId="0" fontId="33" fillId="40" borderId="33" xfId="32" applyFont="1" applyFill="1" applyBorder="1" applyAlignment="1" applyProtection="1">
      <alignment horizontal="center" vertical="center" wrapText="1"/>
    </xf>
    <xf numFmtId="0" fontId="33" fillId="40" borderId="6" xfId="32" applyFont="1" applyFill="1" applyBorder="1" applyAlignment="1" applyProtection="1">
      <alignment horizontal="center" vertical="center" wrapText="1"/>
    </xf>
    <xf numFmtId="0" fontId="33" fillId="40" borderId="75" xfId="32" applyFont="1" applyFill="1" applyBorder="1" applyAlignment="1" applyProtection="1">
      <alignment horizontal="center" vertical="center" wrapText="1"/>
    </xf>
    <xf numFmtId="0" fontId="33" fillId="40" borderId="73" xfId="32" applyFont="1" applyFill="1" applyBorder="1" applyAlignment="1" applyProtection="1">
      <alignment horizontal="center" vertical="center" wrapText="1"/>
    </xf>
    <xf numFmtId="0" fontId="33" fillId="40" borderId="76" xfId="32" applyFont="1" applyFill="1" applyBorder="1" applyAlignment="1" applyProtection="1">
      <alignment horizontal="center" vertical="center" wrapText="1"/>
    </xf>
    <xf numFmtId="0" fontId="33" fillId="40" borderId="52" xfId="32" applyFont="1" applyFill="1" applyBorder="1" applyAlignment="1" applyProtection="1">
      <alignment horizontal="center" vertical="center" wrapText="1"/>
    </xf>
    <xf numFmtId="0" fontId="33" fillId="40" borderId="7" xfId="32" applyFont="1" applyFill="1" applyBorder="1" applyAlignment="1" applyProtection="1">
      <alignment horizontal="center" vertical="center" wrapText="1"/>
    </xf>
    <xf numFmtId="0" fontId="33" fillId="40" borderId="53" xfId="32" applyFont="1" applyFill="1" applyBorder="1" applyAlignment="1" applyProtection="1">
      <alignment horizontal="center" vertical="center" wrapText="1"/>
    </xf>
    <xf numFmtId="0" fontId="33" fillId="30" borderId="0" xfId="32" applyFont="1" applyFill="1" applyAlignment="1">
      <alignment horizontal="left" vertical="center"/>
    </xf>
    <xf numFmtId="0" fontId="35" fillId="30" borderId="0" xfId="32" applyFont="1" applyFill="1" applyAlignment="1">
      <alignment horizontal="left" vertical="center"/>
    </xf>
    <xf numFmtId="0" fontId="34" fillId="40" borderId="52" xfId="32" applyFont="1" applyFill="1" applyBorder="1" applyAlignment="1" applyProtection="1">
      <alignment horizontal="center" vertical="center"/>
    </xf>
    <xf numFmtId="0" fontId="34" fillId="40" borderId="56" xfId="32" applyFont="1" applyFill="1" applyBorder="1" applyAlignment="1" applyProtection="1">
      <alignment horizontal="center" vertical="center"/>
    </xf>
    <xf numFmtId="0" fontId="34" fillId="40" borderId="53" xfId="32" applyFont="1" applyFill="1" applyBorder="1" applyAlignment="1" applyProtection="1">
      <alignment vertical="center"/>
    </xf>
    <xf numFmtId="0" fontId="34" fillId="40" borderId="57" xfId="32" applyFont="1" applyFill="1" applyBorder="1" applyAlignment="1" applyProtection="1">
      <alignment vertical="center"/>
    </xf>
    <xf numFmtId="0" fontId="33" fillId="40" borderId="45" xfId="32" applyFont="1" applyFill="1" applyBorder="1" applyAlignment="1" applyProtection="1">
      <alignment horizontal="center" vertical="center" wrapText="1"/>
    </xf>
    <xf numFmtId="0" fontId="6" fillId="40" borderId="58" xfId="0" applyFont="1" applyFill="1" applyBorder="1" applyAlignment="1">
      <alignment horizontal="center" vertical="center" wrapText="1"/>
    </xf>
    <xf numFmtId="0" fontId="6" fillId="40" borderId="46" xfId="0" applyFont="1" applyFill="1" applyBorder="1" applyAlignment="1">
      <alignment horizontal="center" vertical="center" wrapText="1"/>
    </xf>
    <xf numFmtId="2" fontId="33" fillId="40" borderId="75" xfId="32" applyNumberFormat="1" applyFont="1" applyFill="1" applyBorder="1" applyAlignment="1" applyProtection="1">
      <alignment horizontal="center" vertical="center" wrapText="1"/>
    </xf>
    <xf numFmtId="2" fontId="33" fillId="40" borderId="73" xfId="32" applyNumberFormat="1" applyFont="1" applyFill="1" applyBorder="1" applyAlignment="1" applyProtection="1">
      <alignment horizontal="center" vertical="center" wrapText="1"/>
    </xf>
    <xf numFmtId="2" fontId="33" fillId="40" borderId="76" xfId="32" applyNumberFormat="1" applyFont="1" applyFill="1" applyBorder="1" applyAlignment="1" applyProtection="1">
      <alignment horizontal="center" vertical="center" wrapText="1"/>
    </xf>
    <xf numFmtId="0" fontId="103" fillId="30" borderId="89" xfId="49" applyFont="1" applyFill="1" applyBorder="1" applyAlignment="1" applyProtection="1">
      <alignment horizontal="left" vertical="center" wrapText="1"/>
    </xf>
    <xf numFmtId="0" fontId="0" fillId="30" borderId="89" xfId="0" applyFill="1" applyBorder="1" applyAlignment="1" applyProtection="1">
      <alignment horizontal="left" vertical="center" wrapText="1"/>
    </xf>
    <xf numFmtId="0" fontId="0" fillId="30" borderId="94" xfId="0" applyFill="1" applyBorder="1" applyAlignment="1" applyProtection="1">
      <alignment vertical="center"/>
    </xf>
    <xf numFmtId="0" fontId="33" fillId="40" borderId="7" xfId="0" applyFont="1" applyFill="1" applyBorder="1" applyAlignment="1" applyProtection="1">
      <alignment horizontal="center" vertical="center" wrapText="1"/>
    </xf>
    <xf numFmtId="0" fontId="34" fillId="40" borderId="7" xfId="0" applyFont="1" applyFill="1" applyBorder="1" applyAlignment="1" applyProtection="1">
      <alignment vertical="center"/>
    </xf>
    <xf numFmtId="2" fontId="33" fillId="40" borderId="7" xfId="0" applyNumberFormat="1" applyFont="1" applyFill="1" applyBorder="1" applyAlignment="1" applyProtection="1">
      <alignment horizontal="center" vertical="center" wrapText="1"/>
    </xf>
    <xf numFmtId="0" fontId="28" fillId="29" borderId="0" xfId="0" applyFont="1" applyFill="1" applyBorder="1" applyAlignment="1" applyProtection="1">
      <alignment horizontal="center" vertical="center" wrapText="1"/>
    </xf>
    <xf numFmtId="0" fontId="7" fillId="30" borderId="0" xfId="0" applyFont="1" applyFill="1" applyAlignment="1" applyProtection="1">
      <alignment horizontal="center" vertical="center" wrapText="1"/>
    </xf>
    <xf numFmtId="0" fontId="11" fillId="30" borderId="0" xfId="0" applyFont="1" applyFill="1" applyAlignment="1" applyProtection="1">
      <alignment horizontal="center" vertical="center" wrapText="1"/>
    </xf>
    <xf numFmtId="0" fontId="6" fillId="31" borderId="7" xfId="0" applyFont="1" applyFill="1" applyBorder="1" applyAlignment="1" applyProtection="1">
      <alignment horizontal="center" vertical="center"/>
      <protection locked="0"/>
    </xf>
    <xf numFmtId="0" fontId="33" fillId="30" borderId="0" xfId="0" applyFont="1" applyFill="1" applyAlignment="1">
      <alignment horizontal="left" vertical="center"/>
    </xf>
    <xf numFmtId="0" fontId="35" fillId="30" borderId="0" xfId="0" applyFont="1" applyFill="1" applyAlignment="1">
      <alignment horizontal="left" vertical="center"/>
    </xf>
    <xf numFmtId="0" fontId="7" fillId="0" borderId="0" xfId="32" applyFont="1" applyAlignment="1">
      <alignment horizontal="center" wrapText="1"/>
    </xf>
    <xf numFmtId="0" fontId="12" fillId="0" borderId="0" xfId="32" applyFont="1" applyFill="1" applyAlignment="1">
      <alignment horizontal="center"/>
    </xf>
    <xf numFmtId="0" fontId="33" fillId="40" borderId="47" xfId="32" applyFont="1" applyFill="1" applyBorder="1" applyAlignment="1" applyProtection="1">
      <alignment horizontal="center" vertical="center" wrapText="1"/>
    </xf>
    <xf numFmtId="0" fontId="33" fillId="40" borderId="46" xfId="32" applyFont="1" applyFill="1" applyBorder="1" applyAlignment="1">
      <alignment horizontal="center" vertical="center"/>
    </xf>
    <xf numFmtId="0" fontId="33" fillId="40" borderId="48" xfId="32" applyFont="1" applyFill="1" applyBorder="1" applyAlignment="1">
      <alignment horizontal="center" vertical="center"/>
    </xf>
    <xf numFmtId="0" fontId="33" fillId="40" borderId="35" xfId="32" applyFont="1" applyFill="1" applyBorder="1" applyAlignment="1">
      <alignment horizontal="center" vertical="center"/>
    </xf>
    <xf numFmtId="0" fontId="33" fillId="40" borderId="34" xfId="32" applyFont="1" applyFill="1" applyBorder="1" applyAlignment="1">
      <alignment horizontal="center" vertical="center"/>
    </xf>
    <xf numFmtId="0" fontId="33" fillId="40" borderId="35" xfId="32" applyFont="1" applyFill="1" applyBorder="1" applyAlignment="1" applyProtection="1">
      <alignment horizontal="center" vertical="center" wrapText="1"/>
    </xf>
    <xf numFmtId="0" fontId="33" fillId="40" borderId="34" xfId="32" applyFont="1" applyFill="1" applyBorder="1" applyAlignment="1" applyProtection="1">
      <alignment horizontal="center" vertical="center" wrapText="1"/>
    </xf>
    <xf numFmtId="0" fontId="103" fillId="0" borderId="89" xfId="49" applyFont="1" applyFill="1" applyBorder="1" applyAlignment="1">
      <alignment horizontal="left" wrapText="1"/>
    </xf>
    <xf numFmtId="0" fontId="0" fillId="0" borderId="89" xfId="0" applyFill="1" applyBorder="1" applyAlignment="1">
      <alignment horizontal="left" wrapText="1"/>
    </xf>
    <xf numFmtId="0" fontId="0" fillId="0" borderId="89" xfId="0" applyFill="1" applyBorder="1" applyAlignment="1"/>
    <xf numFmtId="0" fontId="35" fillId="29" borderId="0" xfId="32" applyFont="1" applyFill="1" applyAlignment="1">
      <alignment horizontal="left" wrapText="1"/>
    </xf>
    <xf numFmtId="0" fontId="33" fillId="0" borderId="0" xfId="32" applyFont="1" applyAlignment="1">
      <alignment horizontal="left" indent="1"/>
    </xf>
    <xf numFmtId="0" fontId="35" fillId="0" borderId="0" xfId="32" applyFont="1" applyAlignment="1"/>
    <xf numFmtId="0" fontId="7" fillId="30" borderId="0" xfId="32" applyFont="1" applyFill="1" applyAlignment="1">
      <alignment horizontal="center" vertical="center" wrapText="1"/>
    </xf>
    <xf numFmtId="0" fontId="12" fillId="0" borderId="0" xfId="32" applyFont="1" applyFill="1" applyBorder="1" applyAlignment="1">
      <alignment horizontal="center"/>
    </xf>
    <xf numFmtId="0" fontId="33" fillId="40" borderId="72" xfId="32" applyFont="1" applyFill="1" applyBorder="1" applyAlignment="1">
      <alignment horizontal="center" vertical="center" wrapText="1"/>
    </xf>
    <xf numFmtId="0" fontId="33" fillId="40" borderId="22" xfId="32" applyFont="1" applyFill="1" applyBorder="1" applyAlignment="1">
      <alignment horizontal="center" vertical="center" wrapText="1"/>
    </xf>
    <xf numFmtId="0" fontId="33" fillId="40" borderId="14" xfId="32" applyFont="1" applyFill="1" applyBorder="1" applyAlignment="1">
      <alignment horizontal="center" vertical="center" wrapText="1"/>
    </xf>
    <xf numFmtId="0" fontId="33" fillId="30" borderId="0" xfId="0" applyFont="1" applyFill="1" applyAlignment="1">
      <alignment horizontal="left" indent="1"/>
    </xf>
    <xf numFmtId="0" fontId="35" fillId="30" borderId="0" xfId="0" applyFont="1" applyFill="1" applyAlignment="1"/>
    <xf numFmtId="0" fontId="12" fillId="30" borderId="0" xfId="32" applyFont="1" applyFill="1" applyAlignment="1">
      <alignment horizontal="center"/>
    </xf>
    <xf numFmtId="0" fontId="33" fillId="40" borderId="29" xfId="32" applyFont="1" applyFill="1" applyBorder="1" applyAlignment="1">
      <alignment horizontal="center" vertical="center"/>
    </xf>
    <xf numFmtId="0" fontId="33" fillId="40" borderId="22" xfId="32" applyFont="1" applyFill="1" applyBorder="1" applyAlignment="1">
      <alignment horizontal="center" vertical="center"/>
    </xf>
    <xf numFmtId="0" fontId="33" fillId="40" borderId="14" xfId="32" applyFont="1" applyFill="1" applyBorder="1" applyAlignment="1">
      <alignment horizontal="center" vertical="center"/>
    </xf>
    <xf numFmtId="0" fontId="33" fillId="40" borderId="56" xfId="32" applyFont="1" applyFill="1" applyBorder="1" applyAlignment="1" applyProtection="1">
      <alignment horizontal="center" vertical="center" wrapText="1"/>
    </xf>
    <xf numFmtId="0" fontId="33" fillId="40" borderId="58" xfId="32" applyFont="1" applyFill="1" applyBorder="1" applyAlignment="1" applyProtection="1">
      <alignment horizontal="center" vertical="center" wrapText="1"/>
    </xf>
    <xf numFmtId="0" fontId="33" fillId="40" borderId="71" xfId="32" applyFont="1" applyFill="1" applyBorder="1" applyAlignment="1" applyProtection="1">
      <alignment horizontal="center" vertical="center" wrapText="1"/>
    </xf>
    <xf numFmtId="0" fontId="76" fillId="40" borderId="74" xfId="32" applyFont="1" applyFill="1" applyBorder="1" applyAlignment="1" applyProtection="1">
      <alignment horizontal="center" vertical="center" wrapText="1"/>
    </xf>
    <xf numFmtId="0" fontId="76" fillId="40" borderId="78" xfId="32" applyFont="1" applyFill="1" applyBorder="1" applyAlignment="1" applyProtection="1">
      <alignment horizontal="center" vertical="center" wrapText="1"/>
    </xf>
    <xf numFmtId="0" fontId="36" fillId="30" borderId="0" xfId="0" applyFont="1" applyFill="1" applyAlignment="1"/>
    <xf numFmtId="0" fontId="13" fillId="40" borderId="35" xfId="32" applyFont="1" applyFill="1" applyBorder="1" applyAlignment="1">
      <alignment horizontal="center" vertical="center" wrapText="1"/>
    </xf>
    <xf numFmtId="0" fontId="13" fillId="40" borderId="34" xfId="32" applyFont="1" applyFill="1" applyBorder="1" applyAlignment="1">
      <alignment horizontal="center" vertical="center" wrapText="1"/>
    </xf>
    <xf numFmtId="0" fontId="12" fillId="30" borderId="0" xfId="32" applyFont="1" applyFill="1" applyBorder="1" applyAlignment="1">
      <alignment horizontal="center" vertical="center"/>
    </xf>
    <xf numFmtId="0" fontId="33" fillId="40" borderId="35" xfId="32" applyFont="1" applyFill="1" applyBorder="1" applyAlignment="1">
      <alignment horizontal="left" vertical="center" wrapText="1"/>
    </xf>
    <xf numFmtId="0" fontId="33" fillId="40" borderId="34" xfId="32" applyFont="1" applyFill="1" applyBorder="1" applyAlignment="1">
      <alignment horizontal="left" vertical="center" wrapText="1"/>
    </xf>
    <xf numFmtId="0" fontId="33" fillId="40" borderId="35" xfId="32" applyFont="1" applyFill="1" applyBorder="1" applyAlignment="1">
      <alignment horizontal="center" vertical="center" wrapText="1"/>
    </xf>
    <xf numFmtId="0" fontId="33" fillId="40" borderId="34" xfId="32" applyFont="1" applyFill="1" applyBorder="1" applyAlignment="1">
      <alignment horizontal="center" vertical="center" wrapText="1"/>
    </xf>
    <xf numFmtId="0" fontId="13" fillId="40" borderId="1" xfId="32" applyFont="1" applyFill="1" applyBorder="1" applyAlignment="1">
      <alignment horizontal="center" vertical="center" wrapText="1"/>
    </xf>
    <xf numFmtId="0" fontId="13" fillId="40" borderId="8" xfId="32" applyFont="1" applyFill="1" applyBorder="1" applyAlignment="1">
      <alignment horizontal="center" vertical="center" wrapText="1"/>
    </xf>
    <xf numFmtId="0" fontId="13" fillId="40" borderId="3" xfId="32" applyFont="1" applyFill="1" applyBorder="1" applyAlignment="1">
      <alignment horizontal="center" vertical="center" wrapText="1"/>
    </xf>
    <xf numFmtId="0" fontId="5" fillId="30" borderId="0" xfId="32" applyFont="1" applyFill="1" applyBorder="1" applyAlignment="1">
      <alignment horizontal="center" vertical="center"/>
    </xf>
    <xf numFmtId="3" fontId="33" fillId="40" borderId="40" xfId="32" applyNumberFormat="1" applyFont="1" applyFill="1" applyBorder="1" applyAlignment="1">
      <alignment horizontal="center" vertical="center" wrapText="1"/>
    </xf>
    <xf numFmtId="3" fontId="33" fillId="40" borderId="11" xfId="32" applyNumberFormat="1" applyFont="1" applyFill="1" applyBorder="1" applyAlignment="1">
      <alignment horizontal="center" vertical="center" wrapText="1"/>
    </xf>
    <xf numFmtId="3" fontId="33" fillId="40" borderId="41" xfId="32" applyNumberFormat="1" applyFont="1" applyFill="1" applyBorder="1" applyAlignment="1">
      <alignment horizontal="center" vertical="center" wrapText="1"/>
    </xf>
    <xf numFmtId="0" fontId="33" fillId="40" borderId="1" xfId="32" applyFont="1" applyFill="1" applyBorder="1" applyAlignment="1">
      <alignment horizontal="center" vertical="center" wrapText="1"/>
    </xf>
    <xf numFmtId="0" fontId="33" fillId="40" borderId="8" xfId="32" applyFont="1" applyFill="1" applyBorder="1" applyAlignment="1">
      <alignment horizontal="center" vertical="center" wrapText="1"/>
    </xf>
    <xf numFmtId="0" fontId="33" fillId="40" borderId="3" xfId="32" applyFont="1" applyFill="1" applyBorder="1" applyAlignment="1">
      <alignment horizontal="center" vertical="center" wrapText="1"/>
    </xf>
    <xf numFmtId="0" fontId="13" fillId="30" borderId="20" xfId="32" applyFont="1" applyFill="1" applyBorder="1" applyAlignment="1">
      <alignment horizontal="center"/>
    </xf>
    <xf numFmtId="0" fontId="75" fillId="40" borderId="35" xfId="32" applyFont="1" applyFill="1" applyBorder="1" applyAlignment="1">
      <alignment horizontal="center" vertical="center" textRotation="90" wrapText="1"/>
    </xf>
    <xf numFmtId="0" fontId="75" fillId="40" borderId="34" xfId="32" applyFont="1" applyFill="1" applyBorder="1" applyAlignment="1">
      <alignment horizontal="center" vertical="center" textRotation="90" wrapText="1"/>
    </xf>
    <xf numFmtId="0" fontId="7" fillId="0" borderId="0" xfId="31" applyFont="1" applyAlignment="1">
      <alignment horizontal="center" wrapText="1"/>
    </xf>
    <xf numFmtId="0" fontId="12" fillId="0" borderId="0" xfId="0" applyFont="1" applyFill="1" applyAlignment="1">
      <alignment horizontal="center"/>
    </xf>
    <xf numFmtId="0" fontId="5" fillId="30" borderId="0" xfId="32" applyFont="1" applyFill="1" applyBorder="1" applyAlignment="1">
      <alignment horizontal="right" vertical="center"/>
    </xf>
    <xf numFmtId="0" fontId="33" fillId="40" borderId="49" xfId="31" applyFont="1" applyFill="1" applyBorder="1" applyAlignment="1">
      <alignment horizontal="center" vertical="center" wrapText="1"/>
    </xf>
    <xf numFmtId="0" fontId="33" fillId="40" borderId="31" xfId="31" applyFont="1" applyFill="1" applyBorder="1" applyAlignment="1">
      <alignment horizontal="center" vertical="center" wrapText="1"/>
    </xf>
    <xf numFmtId="0" fontId="33" fillId="40" borderId="50" xfId="31" applyFont="1" applyFill="1" applyBorder="1" applyAlignment="1">
      <alignment horizontal="center" vertical="center" wrapText="1"/>
    </xf>
    <xf numFmtId="0" fontId="33" fillId="40" borderId="44" xfId="31" applyFont="1" applyFill="1" applyBorder="1" applyAlignment="1">
      <alignment horizontal="center" vertical="center" wrapText="1"/>
    </xf>
    <xf numFmtId="0" fontId="33" fillId="40" borderId="75" xfId="31" applyFont="1" applyFill="1" applyBorder="1" applyAlignment="1">
      <alignment horizontal="center" vertical="center"/>
    </xf>
    <xf numFmtId="0" fontId="33" fillId="40" borderId="56" xfId="31" applyFont="1" applyFill="1" applyBorder="1" applyAlignment="1">
      <alignment horizontal="center" vertical="center"/>
    </xf>
    <xf numFmtId="0" fontId="4" fillId="0" borderId="49" xfId="31" applyFont="1" applyFill="1" applyBorder="1" applyAlignment="1">
      <alignment horizontal="center"/>
    </xf>
    <xf numFmtId="0" fontId="4" fillId="0" borderId="52" xfId="31" applyFont="1" applyFill="1" applyBorder="1" applyAlignment="1">
      <alignment horizontal="center"/>
    </xf>
    <xf numFmtId="0" fontId="33" fillId="40" borderId="74" xfId="31" applyFont="1" applyFill="1" applyBorder="1" applyAlignment="1">
      <alignment horizontal="center" vertical="center"/>
    </xf>
    <xf numFmtId="0" fontId="33" fillId="40" borderId="78" xfId="31" applyFont="1" applyFill="1" applyBorder="1" applyAlignment="1">
      <alignment horizontal="center" vertical="center"/>
    </xf>
    <xf numFmtId="0" fontId="33" fillId="40" borderId="75" xfId="49" applyFont="1" applyFill="1" applyBorder="1" applyAlignment="1">
      <alignment horizontal="center" vertical="center"/>
    </xf>
    <xf numFmtId="0" fontId="33" fillId="40" borderId="73" xfId="49" applyFont="1" applyFill="1" applyBorder="1" applyAlignment="1">
      <alignment horizontal="center" vertical="center"/>
    </xf>
    <xf numFmtId="0" fontId="33" fillId="40" borderId="76" xfId="49" applyFont="1" applyFill="1" applyBorder="1" applyAlignment="1">
      <alignment horizontal="center" vertical="center"/>
    </xf>
    <xf numFmtId="0" fontId="13" fillId="40" borderId="0" xfId="31" applyFont="1" applyFill="1" applyBorder="1" applyAlignment="1">
      <alignment horizontal="center" wrapText="1"/>
    </xf>
    <xf numFmtId="0" fontId="13" fillId="40" borderId="20" xfId="31" applyFont="1" applyFill="1" applyBorder="1" applyAlignment="1">
      <alignment horizontal="center" wrapText="1"/>
    </xf>
    <xf numFmtId="0" fontId="33" fillId="40" borderId="72" xfId="49" applyFont="1" applyFill="1" applyBorder="1" applyAlignment="1">
      <alignment horizontal="center" vertical="center"/>
    </xf>
    <xf numFmtId="0" fontId="33" fillId="40" borderId="74" xfId="49" applyFont="1" applyFill="1" applyBorder="1" applyAlignment="1">
      <alignment horizontal="center" vertical="center"/>
    </xf>
    <xf numFmtId="0" fontId="36" fillId="29" borderId="0" xfId="0" applyFont="1" applyFill="1" applyAlignment="1">
      <alignment vertical="center" wrapText="1"/>
    </xf>
    <xf numFmtId="0" fontId="4" fillId="0" borderId="75" xfId="31" applyFont="1" applyFill="1" applyBorder="1" applyAlignment="1">
      <alignment horizontal="center"/>
    </xf>
    <xf numFmtId="0" fontId="13" fillId="29" borderId="0" xfId="0" applyFont="1" applyFill="1" applyAlignment="1">
      <alignment horizontal="left" indent="1"/>
    </xf>
    <xf numFmtId="0" fontId="33" fillId="40" borderId="36" xfId="31" applyFont="1" applyFill="1" applyBorder="1" applyAlignment="1">
      <alignment horizontal="center" vertical="center" wrapText="1"/>
    </xf>
    <xf numFmtId="0" fontId="33" fillId="40" borderId="42" xfId="31" applyFont="1" applyFill="1" applyBorder="1" applyAlignment="1">
      <alignment horizontal="center" vertical="center" wrapText="1"/>
    </xf>
    <xf numFmtId="0" fontId="33" fillId="40" borderId="45" xfId="31" applyFont="1" applyFill="1" applyBorder="1" applyAlignment="1">
      <alignment horizontal="center" vertical="center" wrapText="1"/>
    </xf>
    <xf numFmtId="0" fontId="33" fillId="40" borderId="58" xfId="31" applyFont="1" applyFill="1" applyBorder="1" applyAlignment="1">
      <alignment horizontal="center" vertical="center" wrapText="1"/>
    </xf>
    <xf numFmtId="0" fontId="33" fillId="40" borderId="46" xfId="31" applyFont="1" applyFill="1" applyBorder="1" applyAlignment="1">
      <alignment horizontal="center" vertical="center" wrapText="1"/>
    </xf>
    <xf numFmtId="0" fontId="33" fillId="40" borderId="35" xfId="31" applyFont="1" applyFill="1" applyBorder="1" applyAlignment="1">
      <alignment horizontal="center" vertical="center" wrapText="1"/>
    </xf>
    <xf numFmtId="0" fontId="33" fillId="40" borderId="34" xfId="31" applyFont="1" applyFill="1" applyBorder="1" applyAlignment="1">
      <alignment horizontal="center" vertical="center" wrapText="1"/>
    </xf>
    <xf numFmtId="0" fontId="36" fillId="29" borderId="0" xfId="0" applyFont="1" applyFill="1" applyAlignment="1">
      <alignment vertical="center"/>
    </xf>
    <xf numFmtId="0" fontId="33" fillId="40" borderId="13" xfId="31" applyFont="1" applyFill="1" applyBorder="1" applyAlignment="1">
      <alignment horizontal="center" vertical="center" wrapText="1"/>
    </xf>
    <xf numFmtId="0" fontId="33" fillId="40" borderId="4" xfId="31" applyFont="1" applyFill="1" applyBorder="1" applyAlignment="1">
      <alignment horizontal="center" vertical="center" wrapText="1"/>
    </xf>
    <xf numFmtId="0" fontId="33" fillId="40" borderId="68" xfId="31" applyFont="1" applyFill="1" applyBorder="1" applyAlignment="1">
      <alignment horizontal="center" vertical="center" wrapText="1"/>
    </xf>
    <xf numFmtId="0" fontId="36" fillId="30" borderId="0" xfId="49" applyFont="1" applyFill="1" applyAlignment="1">
      <alignment horizontal="left" vertical="center" wrapText="1"/>
    </xf>
    <xf numFmtId="0" fontId="36" fillId="30" borderId="0" xfId="49" applyFont="1" applyFill="1" applyAlignment="1">
      <alignment wrapText="1"/>
    </xf>
    <xf numFmtId="0" fontId="36" fillId="29" borderId="0" xfId="49" applyFont="1" applyFill="1" applyAlignment="1">
      <alignment wrapText="1"/>
    </xf>
    <xf numFmtId="0" fontId="36" fillId="30" borderId="0" xfId="49" applyFont="1" applyFill="1" applyAlignment="1">
      <alignment horizontal="left" wrapText="1"/>
    </xf>
    <xf numFmtId="0" fontId="134" fillId="30" borderId="90" xfId="49" applyFont="1" applyFill="1" applyBorder="1" applyAlignment="1">
      <alignment horizontal="center" wrapText="1"/>
    </xf>
    <xf numFmtId="0" fontId="135" fillId="0" borderId="91" xfId="0" applyFont="1" applyBorder="1" applyAlignment="1">
      <alignment horizontal="center" wrapText="1"/>
    </xf>
    <xf numFmtId="0" fontId="43" fillId="30" borderId="0" xfId="49" applyFont="1" applyFill="1" applyAlignment="1">
      <alignment horizontal="left" wrapText="1"/>
    </xf>
    <xf numFmtId="0" fontId="12" fillId="30" borderId="0" xfId="49" applyFont="1" applyFill="1" applyBorder="1" applyAlignment="1">
      <alignment horizontal="center" vertical="center" wrapText="1"/>
    </xf>
    <xf numFmtId="0" fontId="7" fillId="30" borderId="0" xfId="49" applyFont="1" applyFill="1" applyAlignment="1">
      <alignment horizontal="center" wrapText="1"/>
    </xf>
    <xf numFmtId="0" fontId="33" fillId="40" borderId="40" xfId="49" applyFont="1" applyFill="1" applyBorder="1" applyAlignment="1">
      <alignment horizontal="center" vertical="center" wrapText="1"/>
    </xf>
    <xf numFmtId="0" fontId="33" fillId="40" borderId="42" xfId="49" applyFont="1" applyFill="1" applyBorder="1" applyAlignment="1">
      <alignment horizontal="center" vertical="center" wrapText="1"/>
    </xf>
    <xf numFmtId="0" fontId="33" fillId="40" borderId="11" xfId="49" applyFont="1" applyFill="1" applyBorder="1" applyAlignment="1">
      <alignment horizontal="center" vertical="center" wrapText="1"/>
    </xf>
    <xf numFmtId="0" fontId="33" fillId="40" borderId="41" xfId="49" applyFont="1" applyFill="1" applyBorder="1" applyAlignment="1">
      <alignment horizontal="center" vertical="center" wrapText="1"/>
    </xf>
    <xf numFmtId="0" fontId="33" fillId="40" borderId="35" xfId="49" applyFont="1" applyFill="1" applyBorder="1" applyAlignment="1">
      <alignment horizontal="center" vertical="center" wrapText="1"/>
    </xf>
    <xf numFmtId="0" fontId="33" fillId="40" borderId="34" xfId="49" applyFont="1" applyFill="1" applyBorder="1" applyAlignment="1">
      <alignment horizontal="center" vertical="center" wrapText="1"/>
    </xf>
    <xf numFmtId="0" fontId="12" fillId="30" borderId="0" xfId="49" applyFont="1" applyFill="1" applyBorder="1" applyAlignment="1">
      <alignment horizontal="center" vertical="center"/>
    </xf>
    <xf numFmtId="0" fontId="103" fillId="30" borderId="90" xfId="49" applyFont="1" applyFill="1" applyBorder="1" applyAlignment="1">
      <alignment horizontal="center" wrapText="1"/>
    </xf>
    <xf numFmtId="0" fontId="0" fillId="0" borderId="91" xfId="0" applyBorder="1" applyAlignment="1">
      <alignment horizontal="center"/>
    </xf>
    <xf numFmtId="0" fontId="33" fillId="40" borderId="40" xfId="49" applyFont="1" applyFill="1" applyBorder="1" applyAlignment="1">
      <alignment horizontal="center" vertical="center"/>
    </xf>
    <xf numFmtId="0" fontId="33" fillId="40" borderId="42" xfId="49" applyFont="1" applyFill="1" applyBorder="1" applyAlignment="1">
      <alignment horizontal="center" vertical="center"/>
    </xf>
    <xf numFmtId="0" fontId="33" fillId="40" borderId="11" xfId="49" applyFont="1" applyFill="1" applyBorder="1" applyAlignment="1">
      <alignment horizontal="center" vertical="center"/>
    </xf>
    <xf numFmtId="0" fontId="33" fillId="40" borderId="41" xfId="49" applyFont="1" applyFill="1" applyBorder="1" applyAlignment="1">
      <alignment horizontal="center" vertical="center"/>
    </xf>
    <xf numFmtId="0" fontId="13" fillId="40" borderId="1" xfId="49" applyFont="1" applyFill="1" applyBorder="1" applyAlignment="1">
      <alignment horizontal="center" vertical="center"/>
    </xf>
    <xf numFmtId="0" fontId="13" fillId="40" borderId="8" xfId="49" applyFont="1" applyFill="1" applyBorder="1" applyAlignment="1">
      <alignment horizontal="center" vertical="center"/>
    </xf>
    <xf numFmtId="0" fontId="13" fillId="40" borderId="3" xfId="49" applyFont="1" applyFill="1" applyBorder="1" applyAlignment="1">
      <alignment horizontal="center" vertical="center"/>
    </xf>
    <xf numFmtId="0" fontId="13" fillId="40" borderId="40" xfId="49" applyFont="1" applyFill="1" applyBorder="1" applyAlignment="1">
      <alignment horizontal="center" vertical="center"/>
    </xf>
    <xf numFmtId="0" fontId="13" fillId="40" borderId="42" xfId="49" applyFont="1" applyFill="1" applyBorder="1" applyAlignment="1">
      <alignment horizontal="center" vertical="center"/>
    </xf>
    <xf numFmtId="0" fontId="13" fillId="30" borderId="0" xfId="49" applyFont="1" applyFill="1" applyAlignment="1">
      <alignment horizontal="left" indent="1"/>
    </xf>
    <xf numFmtId="0" fontId="36" fillId="30" borderId="0" xfId="49" applyFont="1" applyFill="1" applyAlignment="1">
      <alignment horizontal="left"/>
    </xf>
    <xf numFmtId="0" fontId="13" fillId="40" borderId="11" xfId="49" applyFont="1" applyFill="1" applyBorder="1" applyAlignment="1">
      <alignment horizontal="center" vertical="center"/>
    </xf>
    <xf numFmtId="0" fontId="13" fillId="40" borderId="41" xfId="49" applyFont="1" applyFill="1" applyBorder="1" applyAlignment="1">
      <alignment horizontal="center" vertical="center"/>
    </xf>
    <xf numFmtId="0" fontId="36" fillId="0" borderId="0" xfId="49" applyFont="1" applyFill="1" applyAlignment="1">
      <alignment horizontal="left" wrapText="1"/>
    </xf>
    <xf numFmtId="0" fontId="36" fillId="0" borderId="0" xfId="49" applyFont="1" applyFill="1" applyAlignment="1">
      <alignment horizontal="left"/>
    </xf>
    <xf numFmtId="0" fontId="20" fillId="0" borderId="0" xfId="0" applyFont="1" applyFill="1" applyAlignment="1">
      <alignment horizontal="left"/>
    </xf>
    <xf numFmtId="0" fontId="45" fillId="30" borderId="0" xfId="49" applyFont="1" applyFill="1" applyBorder="1" applyAlignment="1" applyProtection="1">
      <alignment horizontal="left" wrapText="1"/>
    </xf>
    <xf numFmtId="0" fontId="33" fillId="26" borderId="1" xfId="49" applyFont="1" applyFill="1" applyBorder="1" applyAlignment="1" applyProtection="1">
      <alignment horizontal="center" vertical="center" wrapText="1"/>
    </xf>
    <xf numFmtId="0" fontId="33" fillId="26" borderId="3" xfId="49" applyFont="1" applyFill="1" applyBorder="1" applyAlignment="1" applyProtection="1">
      <alignment horizontal="center" vertical="center" wrapText="1"/>
    </xf>
    <xf numFmtId="2" fontId="33" fillId="40" borderId="75" xfId="49" applyNumberFormat="1" applyFont="1" applyFill="1" applyBorder="1" applyAlignment="1" applyProtection="1">
      <alignment horizontal="center" vertical="center" wrapText="1"/>
    </xf>
    <xf numFmtId="2" fontId="33" fillId="40" borderId="73" xfId="49" applyNumberFormat="1" applyFont="1" applyFill="1" applyBorder="1" applyAlignment="1" applyProtection="1">
      <alignment horizontal="center" vertical="center" wrapText="1"/>
    </xf>
    <xf numFmtId="2" fontId="33" fillId="40" borderId="76" xfId="49" applyNumberFormat="1" applyFont="1" applyFill="1" applyBorder="1" applyAlignment="1" applyProtection="1">
      <alignment horizontal="center" vertical="center" wrapText="1"/>
    </xf>
    <xf numFmtId="0" fontId="33" fillId="40" borderId="72" xfId="49" applyFont="1" applyFill="1" applyBorder="1" applyAlignment="1" applyProtection="1">
      <alignment horizontal="center" vertical="center" wrapText="1"/>
    </xf>
    <xf numFmtId="0" fontId="33" fillId="40" borderId="73" xfId="49" applyFont="1" applyFill="1" applyBorder="1" applyAlignment="1" applyProtection="1">
      <alignment horizontal="center" vertical="center" wrapText="1"/>
    </xf>
    <xf numFmtId="0" fontId="33" fillId="40" borderId="76" xfId="49" applyFont="1" applyFill="1" applyBorder="1" applyAlignment="1" applyProtection="1">
      <alignment horizontal="center" vertical="center" wrapText="1"/>
    </xf>
    <xf numFmtId="0" fontId="33" fillId="40" borderId="75" xfId="49" applyFont="1" applyFill="1" applyBorder="1" applyAlignment="1" applyProtection="1">
      <alignment horizontal="center" vertical="center" wrapText="1"/>
    </xf>
    <xf numFmtId="0" fontId="33" fillId="40" borderId="35" xfId="49" applyFont="1" applyFill="1" applyBorder="1" applyAlignment="1" applyProtection="1">
      <alignment horizontal="center" vertical="center"/>
    </xf>
    <xf numFmtId="0" fontId="33" fillId="40" borderId="34" xfId="49" applyFont="1" applyFill="1" applyBorder="1" applyAlignment="1" applyProtection="1">
      <alignment horizontal="center" vertical="center"/>
    </xf>
    <xf numFmtId="0" fontId="34" fillId="40" borderId="52" xfId="49" applyFont="1" applyFill="1" applyBorder="1" applyProtection="1"/>
    <xf numFmtId="0" fontId="34" fillId="40" borderId="56" xfId="49" applyFont="1" applyFill="1" applyBorder="1" applyProtection="1"/>
    <xf numFmtId="0" fontId="34" fillId="40" borderId="62" xfId="49" applyFont="1" applyFill="1" applyBorder="1" applyProtection="1"/>
    <xf numFmtId="0" fontId="34" fillId="40" borderId="78" xfId="49" applyFont="1" applyFill="1" applyBorder="1" applyProtection="1"/>
    <xf numFmtId="0" fontId="33" fillId="40" borderId="40" xfId="49" applyFont="1" applyFill="1" applyBorder="1" applyAlignment="1" applyProtection="1">
      <alignment horizontal="center" vertical="center" wrapText="1"/>
    </xf>
    <xf numFmtId="0" fontId="33" fillId="40" borderId="11" xfId="49" applyFont="1" applyFill="1" applyBorder="1" applyAlignment="1" applyProtection="1">
      <alignment horizontal="center" vertical="center" wrapText="1"/>
    </xf>
    <xf numFmtId="0" fontId="33" fillId="40" borderId="41" xfId="49" applyFont="1" applyFill="1" applyBorder="1" applyAlignment="1" applyProtection="1">
      <alignment horizontal="center" vertical="center" wrapText="1"/>
    </xf>
    <xf numFmtId="0" fontId="33" fillId="40" borderId="42" xfId="49" applyFont="1" applyFill="1" applyBorder="1" applyAlignment="1" applyProtection="1">
      <alignment horizontal="center" vertical="center" wrapText="1"/>
    </xf>
    <xf numFmtId="0" fontId="33" fillId="40" borderId="20" xfId="49" applyFont="1" applyFill="1" applyBorder="1" applyAlignment="1" applyProtection="1">
      <alignment horizontal="center" vertical="center" wrapText="1"/>
    </xf>
    <xf numFmtId="0" fontId="33" fillId="40" borderId="43" xfId="49" applyFont="1" applyFill="1" applyBorder="1" applyAlignment="1" applyProtection="1">
      <alignment horizontal="center" vertical="center" wrapText="1"/>
    </xf>
    <xf numFmtId="2" fontId="33" fillId="40" borderId="1" xfId="49" applyNumberFormat="1" applyFont="1" applyFill="1" applyBorder="1" applyAlignment="1" applyProtection="1">
      <alignment horizontal="center" vertical="center" wrapText="1"/>
    </xf>
    <xf numFmtId="2" fontId="33" fillId="40" borderId="8" xfId="49" applyNumberFormat="1" applyFont="1" applyFill="1" applyBorder="1" applyAlignment="1" applyProtection="1">
      <alignment horizontal="center" vertical="center" wrapText="1"/>
    </xf>
    <xf numFmtId="2" fontId="33" fillId="40" borderId="3" xfId="49" applyNumberFormat="1" applyFont="1" applyFill="1" applyBorder="1" applyAlignment="1" applyProtection="1">
      <alignment horizontal="center" vertical="center" wrapText="1"/>
    </xf>
    <xf numFmtId="0" fontId="33" fillId="40" borderId="1" xfId="49" applyFont="1" applyFill="1" applyBorder="1" applyAlignment="1" applyProtection="1">
      <alignment horizontal="center" vertical="center" wrapText="1"/>
    </xf>
    <xf numFmtId="0" fontId="33" fillId="40" borderId="8" xfId="49" applyFont="1" applyFill="1" applyBorder="1" applyAlignment="1" applyProtection="1">
      <alignment horizontal="center" vertical="center" wrapText="1"/>
    </xf>
    <xf numFmtId="0" fontId="33" fillId="40" borderId="3" xfId="49" applyFont="1" applyFill="1" applyBorder="1" applyAlignment="1" applyProtection="1">
      <alignment horizontal="center" vertical="center" wrapText="1"/>
    </xf>
    <xf numFmtId="0" fontId="7" fillId="30" borderId="0" xfId="49" applyFont="1" applyFill="1" applyAlignment="1" applyProtection="1">
      <alignment horizontal="center" wrapText="1"/>
    </xf>
    <xf numFmtId="0" fontId="12" fillId="30" borderId="0" xfId="49" applyFont="1" applyFill="1" applyBorder="1" applyAlignment="1">
      <alignment horizontal="center"/>
    </xf>
    <xf numFmtId="2" fontId="33" fillId="40" borderId="29" xfId="49" applyNumberFormat="1" applyFont="1" applyFill="1" applyBorder="1" applyAlignment="1" applyProtection="1">
      <alignment horizontal="center" vertical="center" wrapText="1"/>
    </xf>
    <xf numFmtId="2" fontId="33" fillId="40" borderId="14" xfId="49" applyNumberFormat="1" applyFont="1" applyFill="1" applyBorder="1" applyAlignment="1" applyProtection="1">
      <alignment horizontal="center" vertical="center" wrapText="1"/>
    </xf>
    <xf numFmtId="2" fontId="33" fillId="40" borderId="45" xfId="49" applyNumberFormat="1" applyFont="1" applyFill="1" applyBorder="1" applyAlignment="1" applyProtection="1">
      <alignment horizontal="center" vertical="center" wrapText="1"/>
    </xf>
    <xf numFmtId="2" fontId="33" fillId="40" borderId="58" xfId="49" applyNumberFormat="1" applyFont="1" applyFill="1" applyBorder="1" applyAlignment="1" applyProtection="1">
      <alignment horizontal="center" vertical="center" wrapText="1"/>
    </xf>
    <xf numFmtId="2" fontId="33" fillId="40" borderId="46" xfId="49" applyNumberFormat="1" applyFont="1" applyFill="1" applyBorder="1" applyAlignment="1" applyProtection="1">
      <alignment horizontal="center" vertical="center" wrapText="1"/>
    </xf>
    <xf numFmtId="0" fontId="11" fillId="29" borderId="1" xfId="49" applyFont="1" applyFill="1" applyBorder="1" applyAlignment="1" applyProtection="1">
      <alignment horizontal="center" wrapText="1"/>
    </xf>
    <xf numFmtId="0" fontId="11" fillId="29" borderId="3" xfId="49" applyFont="1" applyFill="1" applyBorder="1" applyAlignment="1" applyProtection="1">
      <alignment horizontal="center" wrapText="1"/>
    </xf>
    <xf numFmtId="0" fontId="11" fillId="40" borderId="40" xfId="49" applyFont="1" applyFill="1" applyBorder="1" applyAlignment="1" applyProtection="1">
      <alignment horizontal="center" vertical="center" wrapText="1"/>
    </xf>
    <xf numFmtId="0" fontId="11" fillId="40" borderId="41" xfId="49" applyFont="1" applyFill="1" applyBorder="1" applyAlignment="1" applyProtection="1">
      <alignment horizontal="center" vertical="center" wrapText="1"/>
    </xf>
    <xf numFmtId="0" fontId="11" fillId="40" borderId="27" xfId="49" applyFont="1" applyFill="1" applyBorder="1" applyAlignment="1" applyProtection="1">
      <alignment horizontal="center" vertical="center" wrapText="1"/>
    </xf>
    <xf numFmtId="0" fontId="11" fillId="40" borderId="16" xfId="49" applyFont="1" applyFill="1" applyBorder="1" applyAlignment="1" applyProtection="1">
      <alignment horizontal="center" vertical="center" wrapText="1"/>
    </xf>
    <xf numFmtId="0" fontId="11" fillId="40" borderId="42" xfId="49" applyFont="1" applyFill="1" applyBorder="1" applyAlignment="1" applyProtection="1">
      <alignment horizontal="center" vertical="center" wrapText="1"/>
    </xf>
    <xf numFmtId="0" fontId="11" fillId="40" borderId="43" xfId="49" applyFont="1" applyFill="1" applyBorder="1" applyAlignment="1" applyProtection="1">
      <alignment horizontal="center" vertical="center" wrapText="1"/>
    </xf>
    <xf numFmtId="2" fontId="33" fillId="40" borderId="22" xfId="49" applyNumberFormat="1" applyFont="1" applyFill="1" applyBorder="1" applyAlignment="1" applyProtection="1">
      <alignment horizontal="center" vertical="center" wrapText="1"/>
    </xf>
    <xf numFmtId="0" fontId="28" fillId="30" borderId="0" xfId="49" applyFont="1" applyFill="1" applyAlignment="1">
      <alignment horizontal="left" vertical="top" wrapText="1"/>
    </xf>
    <xf numFmtId="0" fontId="28" fillId="30" borderId="0" xfId="49" applyFont="1" applyFill="1" applyAlignment="1">
      <alignment horizontal="left"/>
    </xf>
    <xf numFmtId="0" fontId="28" fillId="30" borderId="0" xfId="49" applyFont="1" applyFill="1" applyAlignment="1">
      <alignment horizontal="left" vertical="top"/>
    </xf>
    <xf numFmtId="174" fontId="33" fillId="26" borderId="1" xfId="49" applyNumberFormat="1" applyFont="1" applyFill="1" applyBorder="1" applyAlignment="1" applyProtection="1">
      <alignment horizontal="center" vertical="center" wrapText="1"/>
    </xf>
    <xf numFmtId="174" fontId="33" fillId="26" borderId="3" xfId="49" applyNumberFormat="1" applyFont="1" applyFill="1" applyBorder="1" applyAlignment="1" applyProtection="1">
      <alignment horizontal="center" vertical="center" wrapText="1"/>
    </xf>
    <xf numFmtId="170" fontId="33" fillId="40" borderId="75" xfId="49" applyNumberFormat="1" applyFont="1" applyFill="1" applyBorder="1" applyAlignment="1" applyProtection="1">
      <alignment horizontal="center"/>
    </xf>
    <xf numFmtId="170" fontId="33" fillId="40" borderId="76" xfId="49" applyNumberFormat="1" applyFont="1" applyFill="1" applyBorder="1" applyAlignment="1" applyProtection="1">
      <alignment horizontal="center"/>
    </xf>
    <xf numFmtId="170" fontId="33" fillId="40" borderId="72" xfId="49" applyNumberFormat="1" applyFont="1" applyFill="1" applyBorder="1" applyAlignment="1" applyProtection="1">
      <alignment horizontal="center"/>
    </xf>
    <xf numFmtId="170" fontId="33" fillId="40" borderId="74" xfId="49" applyNumberFormat="1" applyFont="1" applyFill="1" applyBorder="1" applyAlignment="1" applyProtection="1">
      <alignment horizontal="center"/>
    </xf>
    <xf numFmtId="0" fontId="116" fillId="40" borderId="76" xfId="49" applyFont="1" applyFill="1" applyBorder="1" applyAlignment="1">
      <alignment horizontal="center"/>
    </xf>
    <xf numFmtId="0" fontId="33" fillId="40" borderId="62" xfId="49" applyFont="1" applyFill="1" applyBorder="1" applyAlignment="1" applyProtection="1">
      <alignment horizontal="center" vertical="center" wrapText="1"/>
    </xf>
    <xf numFmtId="0" fontId="33" fillId="40" borderId="78" xfId="49" applyFont="1" applyFill="1" applyBorder="1" applyAlignment="1" applyProtection="1">
      <alignment horizontal="center" vertical="center" wrapText="1"/>
    </xf>
    <xf numFmtId="0" fontId="33" fillId="40" borderId="52" xfId="49" applyFont="1" applyFill="1" applyBorder="1" applyAlignment="1" applyProtection="1">
      <alignment horizontal="center" vertical="center" wrapText="1"/>
    </xf>
    <xf numFmtId="0" fontId="33" fillId="40" borderId="56" xfId="49" applyFont="1" applyFill="1" applyBorder="1" applyAlignment="1" applyProtection="1">
      <alignment horizontal="center" vertical="center" wrapText="1"/>
    </xf>
    <xf numFmtId="0" fontId="116" fillId="40" borderId="74" xfId="49" applyFont="1" applyFill="1" applyBorder="1" applyAlignment="1">
      <alignment horizontal="center"/>
    </xf>
    <xf numFmtId="0" fontId="95" fillId="30" borderId="0" xfId="49" applyFont="1" applyFill="1" applyAlignment="1" applyProtection="1">
      <alignment horizontal="center" wrapText="1"/>
    </xf>
    <xf numFmtId="0" fontId="95" fillId="30" borderId="0" xfId="49" applyFont="1" applyFill="1" applyBorder="1" applyAlignment="1">
      <alignment horizontal="center"/>
    </xf>
    <xf numFmtId="0" fontId="12" fillId="0" borderId="0" xfId="0" applyFont="1" applyFill="1" applyBorder="1" applyAlignment="1">
      <alignment horizontal="center"/>
    </xf>
    <xf numFmtId="0" fontId="7" fillId="0" borderId="0" xfId="0" applyFont="1" applyBorder="1" applyAlignment="1">
      <alignment horizontal="center" wrapText="1"/>
    </xf>
    <xf numFmtId="0" fontId="13" fillId="0" borderId="0" xfId="0" applyFont="1" applyAlignment="1">
      <alignment horizontal="left" indent="1"/>
    </xf>
    <xf numFmtId="0" fontId="36" fillId="0" borderId="0" xfId="0" applyFont="1" applyAlignment="1">
      <alignment horizontal="left" indent="1"/>
    </xf>
    <xf numFmtId="0" fontId="36" fillId="29" borderId="0" xfId="0" applyFont="1" applyFill="1" applyAlignment="1">
      <alignment horizontal="left" indent="1"/>
    </xf>
    <xf numFmtId="0" fontId="36" fillId="29" borderId="0" xfId="0" applyFont="1" applyFill="1" applyAlignment="1">
      <alignment horizontal="left"/>
    </xf>
    <xf numFmtId="0" fontId="13" fillId="30" borderId="0" xfId="0" applyFont="1" applyFill="1" applyAlignment="1">
      <alignment horizontal="left" indent="1"/>
    </xf>
    <xf numFmtId="0" fontId="36" fillId="30" borderId="0" xfId="0" applyFont="1" applyFill="1" applyAlignment="1">
      <alignment horizontal="left"/>
    </xf>
    <xf numFmtId="0" fontId="36" fillId="0" borderId="0" xfId="0" applyFont="1" applyFill="1" applyAlignment="1"/>
    <xf numFmtId="0" fontId="36" fillId="30" borderId="0" xfId="0" applyFont="1" applyFill="1" applyAlignment="1">
      <alignment horizontal="left" indent="1"/>
    </xf>
    <xf numFmtId="0" fontId="36" fillId="30" borderId="0" xfId="0" applyFont="1" applyFill="1" applyAlignment="1">
      <alignment horizontal="right" indent="1"/>
    </xf>
    <xf numFmtId="0" fontId="36" fillId="30" borderId="0" xfId="0" applyFont="1" applyFill="1" applyAlignment="1">
      <alignment horizontal="left" wrapText="1"/>
    </xf>
    <xf numFmtId="0" fontId="13" fillId="40" borderId="40" xfId="0" applyFont="1" applyFill="1" applyBorder="1" applyAlignment="1">
      <alignment horizontal="center" vertical="center"/>
    </xf>
    <xf numFmtId="0" fontId="13" fillId="40" borderId="11" xfId="0" applyFont="1" applyFill="1" applyBorder="1" applyAlignment="1">
      <alignment horizontal="center" vertical="center"/>
    </xf>
    <xf numFmtId="0" fontId="13" fillId="40" borderId="41" xfId="0" applyFont="1" applyFill="1" applyBorder="1" applyAlignment="1">
      <alignment horizontal="center" vertical="center"/>
    </xf>
    <xf numFmtId="0" fontId="40" fillId="40" borderId="45" xfId="0" applyFont="1" applyFill="1" applyBorder="1" applyAlignment="1" applyProtection="1">
      <alignment horizontal="center" vertical="center" wrapText="1"/>
    </xf>
    <xf numFmtId="0" fontId="40" fillId="40" borderId="47" xfId="0" applyFont="1" applyFill="1" applyBorder="1" applyAlignment="1" applyProtection="1">
      <alignment horizontal="center" vertical="center" wrapText="1"/>
    </xf>
    <xf numFmtId="0" fontId="40" fillId="40" borderId="46" xfId="0" applyFont="1" applyFill="1" applyBorder="1" applyAlignment="1">
      <alignment horizontal="center" vertical="center"/>
    </xf>
    <xf numFmtId="0" fontId="40" fillId="40" borderId="48" xfId="0" applyFont="1" applyFill="1" applyBorder="1" applyAlignment="1">
      <alignment horizontal="center" vertical="center"/>
    </xf>
    <xf numFmtId="0" fontId="40" fillId="40" borderId="40" xfId="0" applyFont="1" applyFill="1" applyBorder="1" applyAlignment="1" applyProtection="1">
      <alignment horizontal="center" vertical="center" wrapText="1"/>
    </xf>
    <xf numFmtId="0" fontId="40" fillId="40" borderId="42" xfId="0" applyFont="1" applyFill="1" applyBorder="1" applyAlignment="1" applyProtection="1">
      <alignment horizontal="center" vertical="center" wrapText="1"/>
    </xf>
    <xf numFmtId="0" fontId="7" fillId="0" borderId="0" xfId="0" applyFont="1" applyAlignment="1">
      <alignment horizontal="center"/>
    </xf>
    <xf numFmtId="0" fontId="11" fillId="0" borderId="0" xfId="0" applyNumberFormat="1" applyFont="1" applyFill="1" applyAlignment="1">
      <alignment horizontal="center"/>
    </xf>
    <xf numFmtId="0" fontId="40" fillId="40" borderId="75" xfId="0" applyFont="1" applyFill="1" applyBorder="1" applyAlignment="1">
      <alignment horizontal="center" vertical="center"/>
    </xf>
    <xf numFmtId="0" fontId="40" fillId="40" borderId="73" xfId="0" applyFont="1" applyFill="1" applyBorder="1" applyAlignment="1">
      <alignment horizontal="center" vertical="center"/>
    </xf>
    <xf numFmtId="0" fontId="40" fillId="40" borderId="76" xfId="0" applyFont="1" applyFill="1" applyBorder="1" applyAlignment="1">
      <alignment horizontal="center" vertical="center"/>
    </xf>
    <xf numFmtId="0" fontId="12" fillId="0" borderId="0" xfId="0" applyFont="1" applyAlignment="1">
      <alignment horizontal="center"/>
    </xf>
    <xf numFmtId="0" fontId="40" fillId="40" borderId="35" xfId="0" applyFont="1" applyFill="1" applyBorder="1" applyAlignment="1" applyProtection="1">
      <alignment horizontal="center" vertical="center" wrapText="1"/>
    </xf>
    <xf numFmtId="0" fontId="40" fillId="40" borderId="26" xfId="0" applyFont="1" applyFill="1" applyBorder="1" applyAlignment="1" applyProtection="1">
      <alignment horizontal="center" vertical="center" wrapText="1"/>
    </xf>
    <xf numFmtId="0" fontId="33" fillId="40" borderId="75" xfId="0" applyFont="1" applyFill="1" applyBorder="1" applyAlignment="1">
      <alignment horizontal="center" vertical="center"/>
    </xf>
    <xf numFmtId="0" fontId="33" fillId="40" borderId="54" xfId="0" applyFont="1" applyFill="1" applyBorder="1" applyAlignment="1">
      <alignment horizontal="center" vertical="center"/>
    </xf>
    <xf numFmtId="0" fontId="33" fillId="40" borderId="73" xfId="0" applyFont="1" applyFill="1" applyBorder="1" applyAlignment="1">
      <alignment horizontal="center" vertical="center"/>
    </xf>
    <xf numFmtId="0" fontId="33" fillId="40" borderId="63" xfId="0" applyFont="1" applyFill="1" applyBorder="1" applyAlignment="1">
      <alignment horizontal="center" vertical="center"/>
    </xf>
    <xf numFmtId="0" fontId="78" fillId="0" borderId="0" xfId="32" applyFont="1" applyFill="1" applyAlignment="1" applyProtection="1">
      <alignment horizontal="center" vertical="center"/>
    </xf>
    <xf numFmtId="0" fontId="78" fillId="0" borderId="0" xfId="32" applyFont="1" applyAlignment="1" applyProtection="1">
      <alignment horizontal="center" vertical="center"/>
    </xf>
    <xf numFmtId="0" fontId="85" fillId="0" borderId="0" xfId="32" applyNumberFormat="1" applyFont="1" applyFill="1" applyAlignment="1" applyProtection="1">
      <alignment horizontal="center" wrapText="1"/>
    </xf>
    <xf numFmtId="1" fontId="40" fillId="42" borderId="45" xfId="21" applyFont="1" applyFill="1" applyBorder="1" applyAlignment="1">
      <alignment horizontal="center" vertical="center" wrapText="1"/>
    </xf>
    <xf numFmtId="1" fontId="40" fillId="42" borderId="66" xfId="21" applyFont="1" applyFill="1" applyBorder="1" applyAlignment="1">
      <alignment horizontal="center" vertical="center" wrapText="1"/>
    </xf>
    <xf numFmtId="1" fontId="40" fillId="42" borderId="47" xfId="21" applyFont="1" applyFill="1" applyBorder="1" applyAlignment="1">
      <alignment horizontal="center" vertical="center" wrapText="1"/>
    </xf>
    <xf numFmtId="1" fontId="40" fillId="42" borderId="41" xfId="21" applyFont="1" applyFill="1" applyBorder="1" applyAlignment="1">
      <alignment horizontal="center" vertical="center" wrapText="1"/>
    </xf>
    <xf numFmtId="1" fontId="40" fillId="42" borderId="0" xfId="21" applyFont="1" applyFill="1" applyBorder="1" applyAlignment="1">
      <alignment horizontal="center" vertical="center" wrapText="1"/>
    </xf>
    <xf numFmtId="1" fontId="40" fillId="42" borderId="20" xfId="21" applyFont="1" applyFill="1" applyBorder="1" applyAlignment="1">
      <alignment horizontal="center" vertical="center" wrapText="1"/>
    </xf>
    <xf numFmtId="0" fontId="40" fillId="40" borderId="40" xfId="32" applyFont="1" applyFill="1" applyBorder="1" applyAlignment="1">
      <alignment horizontal="center" vertical="center"/>
    </xf>
    <xf numFmtId="0" fontId="40" fillId="40" borderId="11" xfId="32" applyFont="1" applyFill="1" applyBorder="1" applyAlignment="1">
      <alignment horizontal="center" vertical="center"/>
    </xf>
    <xf numFmtId="0" fontId="40" fillId="40" borderId="41" xfId="32" applyFont="1" applyFill="1" applyBorder="1" applyAlignment="1">
      <alignment horizontal="center" vertical="center"/>
    </xf>
    <xf numFmtId="0" fontId="40" fillId="40" borderId="75" xfId="32" applyFont="1" applyFill="1" applyBorder="1" applyAlignment="1">
      <alignment horizontal="center" vertical="center"/>
    </xf>
    <xf numFmtId="0" fontId="40" fillId="40" borderId="73" xfId="32" applyFont="1" applyFill="1" applyBorder="1" applyAlignment="1">
      <alignment horizontal="center" vertical="center"/>
    </xf>
    <xf numFmtId="0" fontId="40" fillId="40" borderId="76" xfId="32" applyFont="1" applyFill="1" applyBorder="1" applyAlignment="1">
      <alignment horizontal="center" vertical="center"/>
    </xf>
    <xf numFmtId="0" fontId="7" fillId="0" borderId="0" xfId="0" applyFont="1" applyAlignment="1" applyProtection="1">
      <alignment horizontal="center" vertical="center"/>
    </xf>
    <xf numFmtId="0" fontId="7" fillId="21" borderId="0" xfId="0" applyFont="1" applyFill="1" applyAlignment="1" applyProtection="1">
      <alignment horizontal="center" vertical="center"/>
    </xf>
    <xf numFmtId="0" fontId="55" fillId="0" borderId="0" xfId="0" applyNumberFormat="1" applyFont="1" applyFill="1" applyAlignment="1" applyProtection="1">
      <alignment horizontal="center" wrapText="1"/>
    </xf>
    <xf numFmtId="0" fontId="36" fillId="30" borderId="0" xfId="0" applyFont="1" applyFill="1" applyAlignment="1">
      <alignment wrapText="1"/>
    </xf>
    <xf numFmtId="0" fontId="7" fillId="0" borderId="0" xfId="40" applyFont="1" applyAlignment="1" applyProtection="1">
      <alignment horizontal="center" vertical="center"/>
    </xf>
    <xf numFmtId="0" fontId="7" fillId="21" borderId="0" xfId="40" applyFont="1" applyFill="1" applyAlignment="1" applyProtection="1">
      <alignment horizontal="center"/>
    </xf>
    <xf numFmtId="0" fontId="11" fillId="0" borderId="0" xfId="0" applyNumberFormat="1" applyFont="1" applyFill="1" applyAlignment="1" applyProtection="1">
      <alignment horizontal="center" wrapText="1"/>
    </xf>
    <xf numFmtId="0" fontId="7" fillId="0" borderId="0" xfId="0" applyFont="1" applyFill="1" applyAlignment="1">
      <alignment horizontal="center" vertical="center"/>
    </xf>
    <xf numFmtId="0" fontId="7" fillId="0" borderId="0" xfId="0" applyFont="1" applyAlignment="1">
      <alignment horizontal="center" vertical="center"/>
    </xf>
    <xf numFmtId="0" fontId="11" fillId="0" borderId="0" xfId="0" applyNumberFormat="1" applyFont="1" applyAlignment="1">
      <alignment horizontal="center" vertical="center"/>
    </xf>
    <xf numFmtId="0" fontId="33" fillId="40" borderId="75" xfId="0" applyFont="1" applyFill="1" applyBorder="1" applyAlignment="1" applyProtection="1">
      <alignment horizontal="center" vertical="center" wrapText="1"/>
    </xf>
    <xf numFmtId="0" fontId="33" fillId="40" borderId="73" xfId="0" applyFont="1" applyFill="1" applyBorder="1" applyAlignment="1" applyProtection="1">
      <alignment horizontal="center" vertical="center" wrapText="1"/>
    </xf>
    <xf numFmtId="0" fontId="33" fillId="40" borderId="76" xfId="0" applyFont="1" applyFill="1" applyBorder="1" applyAlignment="1" applyProtection="1">
      <alignment horizontal="center" vertical="center" wrapText="1"/>
    </xf>
    <xf numFmtId="0" fontId="33" fillId="40" borderId="35" xfId="0" applyFont="1" applyFill="1" applyBorder="1" applyAlignment="1">
      <alignment horizontal="center" vertical="center"/>
    </xf>
    <xf numFmtId="0" fontId="33" fillId="40" borderId="34" xfId="0" applyFont="1" applyFill="1" applyBorder="1" applyAlignment="1">
      <alignment horizontal="center" vertical="center"/>
    </xf>
    <xf numFmtId="0" fontId="70" fillId="23" borderId="63" xfId="32" applyFont="1" applyFill="1" applyBorder="1" applyAlignment="1" applyProtection="1">
      <alignment horizontal="center" vertical="center" wrapText="1"/>
    </xf>
    <xf numFmtId="0" fontId="70" fillId="23" borderId="4" xfId="32" applyFont="1" applyFill="1" applyBorder="1" applyAlignment="1" applyProtection="1">
      <alignment horizontal="center" vertical="center" wrapText="1"/>
    </xf>
    <xf numFmtId="0" fontId="70" fillId="23" borderId="31" xfId="32" applyFont="1" applyFill="1" applyBorder="1" applyAlignment="1" applyProtection="1">
      <alignment horizontal="center" vertical="center" wrapText="1"/>
    </xf>
    <xf numFmtId="0" fontId="70" fillId="24" borderId="63" xfId="32" applyFont="1" applyFill="1" applyBorder="1" applyAlignment="1" applyProtection="1">
      <alignment horizontal="center" vertical="center" wrapText="1"/>
    </xf>
    <xf numFmtId="0" fontId="70" fillId="24" borderId="4" xfId="32" applyFont="1" applyFill="1" applyBorder="1" applyAlignment="1" applyProtection="1">
      <alignment horizontal="center" vertical="center" wrapText="1"/>
    </xf>
    <xf numFmtId="0" fontId="70" fillId="24" borderId="31" xfId="32" applyFont="1" applyFill="1" applyBorder="1" applyAlignment="1" applyProtection="1">
      <alignment horizontal="center" vertical="center" wrapText="1"/>
    </xf>
    <xf numFmtId="0" fontId="4" fillId="30" borderId="63" xfId="32" applyFont="1" applyFill="1" applyBorder="1" applyAlignment="1" applyProtection="1">
      <alignment horizontal="left" vertical="center" wrapText="1"/>
    </xf>
    <xf numFmtId="0" fontId="4" fillId="30" borderId="4" xfId="32" applyFont="1" applyFill="1" applyBorder="1" applyAlignment="1" applyProtection="1">
      <alignment horizontal="left" vertical="center" wrapText="1"/>
    </xf>
    <xf numFmtId="0" fontId="4" fillId="30" borderId="31" xfId="32" applyFont="1" applyFill="1" applyBorder="1" applyAlignment="1" applyProtection="1">
      <alignment horizontal="left" vertical="center" wrapText="1"/>
    </xf>
    <xf numFmtId="0" fontId="4" fillId="30" borderId="63" xfId="32" applyFont="1" applyFill="1" applyBorder="1" applyAlignment="1" applyProtection="1">
      <alignment horizontal="left" vertical="top" wrapText="1"/>
    </xf>
    <xf numFmtId="0" fontId="4" fillId="30" borderId="4" xfId="32" applyFont="1" applyFill="1" applyBorder="1" applyAlignment="1" applyProtection="1">
      <alignment horizontal="left" vertical="top" wrapText="1"/>
    </xf>
    <xf numFmtId="0" fontId="4" fillId="30" borderId="31" xfId="32" applyFont="1" applyFill="1" applyBorder="1" applyAlignment="1" applyProtection="1">
      <alignment horizontal="left" vertical="top" wrapText="1"/>
    </xf>
    <xf numFmtId="0" fontId="4" fillId="30" borderId="63" xfId="32" applyFont="1" applyFill="1" applyBorder="1" applyAlignment="1" applyProtection="1">
      <alignment horizontal="center" vertical="center" wrapText="1"/>
    </xf>
    <xf numFmtId="0" fontId="4" fillId="30" borderId="4" xfId="32" applyFont="1" applyFill="1" applyBorder="1" applyAlignment="1" applyProtection="1">
      <alignment horizontal="center" vertical="center" wrapText="1"/>
    </xf>
    <xf numFmtId="0" fontId="4" fillId="30" borderId="31" xfId="32" applyFont="1" applyFill="1" applyBorder="1" applyAlignment="1" applyProtection="1">
      <alignment horizontal="center" vertical="center" wrapText="1"/>
    </xf>
    <xf numFmtId="0" fontId="4" fillId="29" borderId="4" xfId="32" applyFont="1" applyFill="1" applyBorder="1" applyAlignment="1" applyProtection="1">
      <alignment horizontal="center" wrapText="1"/>
    </xf>
    <xf numFmtId="0" fontId="4" fillId="29" borderId="31" xfId="32" applyFont="1" applyFill="1" applyBorder="1" applyAlignment="1" applyProtection="1">
      <alignment horizontal="center" wrapText="1"/>
    </xf>
  </cellXfs>
  <cellStyles count="56">
    <cellStyle name="Accent1 - 20%" xfId="3"/>
    <cellStyle name="Accent1 - 40%" xfId="4"/>
    <cellStyle name="Accent1 - 60%" xfId="5"/>
    <cellStyle name="Accent2 - 20%" xfId="6"/>
    <cellStyle name="Accent2 - 40%" xfId="7"/>
    <cellStyle name="Accent2 - 60%" xfId="8"/>
    <cellStyle name="Accent3 - 20%" xfId="9"/>
    <cellStyle name="Accent3 - 40%" xfId="10"/>
    <cellStyle name="Accent3 - 60%" xfId="11"/>
    <cellStyle name="Accent4 - 20%" xfId="12"/>
    <cellStyle name="Accent4 - 40%" xfId="13"/>
    <cellStyle name="Accent4 - 60%" xfId="14"/>
    <cellStyle name="Accent5 - 20%" xfId="15"/>
    <cellStyle name="Accent5 - 40%" xfId="16"/>
    <cellStyle name="Accent5 - 60%" xfId="17"/>
    <cellStyle name="Accent6 - 20%" xfId="18"/>
    <cellStyle name="Accent6 - 40%" xfId="19"/>
    <cellStyle name="Accent6 - 60%" xfId="20"/>
    <cellStyle name="Blue" xfId="21"/>
    <cellStyle name="Choice" xfId="22"/>
    <cellStyle name="Closed" xfId="23"/>
    <cellStyle name="Comma" xfId="55" builtinId="3"/>
    <cellStyle name="Comma 2" xfId="44"/>
    <cellStyle name="Comma 2 2" xfId="48"/>
    <cellStyle name="Comma 3" xfId="46"/>
    <cellStyle name="Emphasis 1" xfId="24"/>
    <cellStyle name="Emphasis 2" xfId="25"/>
    <cellStyle name="Emphasis 3" xfId="26"/>
    <cellStyle name="Green" xfId="27"/>
    <cellStyle name="Grey" xfId="28"/>
    <cellStyle name="Hyperlink" xfId="2" builtinId="8"/>
    <cellStyle name="Hyperlink 2" xfId="29"/>
    <cellStyle name="Koloni" xfId="30"/>
    <cellStyle name="Normal" xfId="0" builtinId="0"/>
    <cellStyle name="Normal 2" xfId="31"/>
    <cellStyle name="Normal 3" xfId="32"/>
    <cellStyle name="Normal 4" xfId="45"/>
    <cellStyle name="Normal 5" xfId="49"/>
    <cellStyle name="Normal 6" xfId="52"/>
    <cellStyle name="Normal 6 2" xfId="54"/>
    <cellStyle name="Normal 7" xfId="53"/>
    <cellStyle name="Normal_Lov_Forms_DKER" xfId="42"/>
    <cellStyle name="Normal_Model_2005_Sofia_DKER_3" xfId="40"/>
    <cellStyle name="Normal_Pazardjik_2_bo_groups" xfId="43"/>
    <cellStyle name="Normal_Sheet1_1" xfId="47"/>
    <cellStyle name="Percent" xfId="1" builtinId="5"/>
    <cellStyle name="Percent 2" xfId="33"/>
    <cellStyle name="Percent 3" xfId="34"/>
    <cellStyle name="Percent 4" xfId="35"/>
    <cellStyle name="Percent 5" xfId="41"/>
    <cellStyle name="Percent 6" xfId="50"/>
    <cellStyle name="Percent 7" xfId="51"/>
    <cellStyle name="Sheet Title" xfId="36"/>
    <cellStyle name="White" xfId="37"/>
    <cellStyle name="Zaglavie" xfId="38"/>
    <cellStyle name="Нормален 3" xfId="39"/>
  </cellStyles>
  <dxfs count="9">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FF0000"/>
      </font>
      <fill>
        <patternFill>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color rgb="FFCCFFCC"/>
      <color rgb="FFFF7C80"/>
      <color rgb="FF3399FF"/>
      <color rgb="FFCCFFFF"/>
      <color rgb="FFBCF6C6"/>
      <color rgb="FFEAEAEA"/>
      <color rgb="FFFFCC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1085850</xdr:colOff>
      <xdr:row>18</xdr:row>
      <xdr:rowOff>0</xdr:rowOff>
    </xdr:from>
    <xdr:to>
      <xdr:col>4</xdr:col>
      <xdr:colOff>0</xdr:colOff>
      <xdr:row>18</xdr:row>
      <xdr:rowOff>0</xdr:rowOff>
    </xdr:to>
    <xdr:sp macro="" textlink="">
      <xdr:nvSpPr>
        <xdr:cNvPr id="2" name="Line 253"/>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3" name="Line 254"/>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4" name="Line 255"/>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18</xdr:row>
      <xdr:rowOff>0</xdr:rowOff>
    </xdr:from>
    <xdr:to>
      <xdr:col>4</xdr:col>
      <xdr:colOff>0</xdr:colOff>
      <xdr:row>18</xdr:row>
      <xdr:rowOff>0</xdr:rowOff>
    </xdr:to>
    <xdr:sp macro="" textlink="">
      <xdr:nvSpPr>
        <xdr:cNvPr id="5" name="Line 256"/>
        <xdr:cNvSpPr>
          <a:spLocks noChangeShapeType="1"/>
        </xdr:cNvSpPr>
      </xdr:nvSpPr>
      <xdr:spPr bwMode="auto">
        <a:xfrm>
          <a:off x="5629275" y="379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19</xdr:row>
      <xdr:rowOff>0</xdr:rowOff>
    </xdr:from>
    <xdr:to>
      <xdr:col>4</xdr:col>
      <xdr:colOff>0</xdr:colOff>
      <xdr:row>19</xdr:row>
      <xdr:rowOff>0</xdr:rowOff>
    </xdr:to>
    <xdr:sp macro="" textlink="">
      <xdr:nvSpPr>
        <xdr:cNvPr id="2" name="Line 253"/>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3" name="Line 254"/>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4" name="Line 255"/>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1085850</xdr:colOff>
      <xdr:row>19</xdr:row>
      <xdr:rowOff>0</xdr:rowOff>
    </xdr:from>
    <xdr:to>
      <xdr:col>4</xdr:col>
      <xdr:colOff>0</xdr:colOff>
      <xdr:row>19</xdr:row>
      <xdr:rowOff>0</xdr:rowOff>
    </xdr:to>
    <xdr:sp macro="" textlink="">
      <xdr:nvSpPr>
        <xdr:cNvPr id="5" name="Line 256"/>
        <xdr:cNvSpPr>
          <a:spLocks noChangeShapeType="1"/>
        </xdr:cNvSpPr>
      </xdr:nvSpPr>
      <xdr:spPr bwMode="auto">
        <a:xfrm>
          <a:off x="6257925" y="356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23</xdr:row>
      <xdr:rowOff>9525</xdr:rowOff>
    </xdr:from>
    <xdr:to>
      <xdr:col>2</xdr:col>
      <xdr:colOff>0</xdr:colOff>
      <xdr:row>25</xdr:row>
      <xdr:rowOff>228600</xdr:rowOff>
    </xdr:to>
    <xdr:sp macro="" textlink="">
      <xdr:nvSpPr>
        <xdr:cNvPr id="4" name="Line 32"/>
        <xdr:cNvSpPr>
          <a:spLocks noChangeShapeType="1"/>
        </xdr:cNvSpPr>
      </xdr:nvSpPr>
      <xdr:spPr bwMode="auto">
        <a:xfrm>
          <a:off x="4067175" y="1781175"/>
          <a:ext cx="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23</xdr:row>
      <xdr:rowOff>0</xdr:rowOff>
    </xdr:from>
    <xdr:to>
      <xdr:col>2</xdr:col>
      <xdr:colOff>0</xdr:colOff>
      <xdr:row>26</xdr:row>
      <xdr:rowOff>0</xdr:rowOff>
    </xdr:to>
    <xdr:sp macro="" textlink="">
      <xdr:nvSpPr>
        <xdr:cNvPr id="5" name="Line 33"/>
        <xdr:cNvSpPr>
          <a:spLocks noChangeShapeType="1"/>
        </xdr:cNvSpPr>
      </xdr:nvSpPr>
      <xdr:spPr bwMode="auto">
        <a:xfrm flipV="1">
          <a:off x="4067175" y="1771650"/>
          <a:ext cx="0" cy="571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9525</xdr:colOff>
      <xdr:row>11</xdr:row>
      <xdr:rowOff>0</xdr:rowOff>
    </xdr:from>
    <xdr:to>
      <xdr:col>19</xdr:col>
      <xdr:colOff>942975</xdr:colOff>
      <xdr:row>11</xdr:row>
      <xdr:rowOff>0</xdr:rowOff>
    </xdr:to>
    <xdr:sp macro="" textlink="">
      <xdr:nvSpPr>
        <xdr:cNvPr id="8" name="Line 8"/>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11</xdr:row>
      <xdr:rowOff>0</xdr:rowOff>
    </xdr:from>
    <xdr:to>
      <xdr:col>20</xdr:col>
      <xdr:colOff>0</xdr:colOff>
      <xdr:row>11</xdr:row>
      <xdr:rowOff>0</xdr:rowOff>
    </xdr:to>
    <xdr:sp macro="" textlink="">
      <xdr:nvSpPr>
        <xdr:cNvPr id="9" name="Line 10"/>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9525</xdr:colOff>
      <xdr:row>11</xdr:row>
      <xdr:rowOff>0</xdr:rowOff>
    </xdr:from>
    <xdr:to>
      <xdr:col>20</xdr:col>
      <xdr:colOff>942975</xdr:colOff>
      <xdr:row>11</xdr:row>
      <xdr:rowOff>0</xdr:rowOff>
    </xdr:to>
    <xdr:sp macro="" textlink="">
      <xdr:nvSpPr>
        <xdr:cNvPr id="10" name="Line 8"/>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11</xdr:row>
      <xdr:rowOff>0</xdr:rowOff>
    </xdr:from>
    <xdr:to>
      <xdr:col>21</xdr:col>
      <xdr:colOff>0</xdr:colOff>
      <xdr:row>11</xdr:row>
      <xdr:rowOff>0</xdr:rowOff>
    </xdr:to>
    <xdr:sp macro="" textlink="">
      <xdr:nvSpPr>
        <xdr:cNvPr id="11" name="Line 10"/>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9525</xdr:colOff>
      <xdr:row>11</xdr:row>
      <xdr:rowOff>0</xdr:rowOff>
    </xdr:from>
    <xdr:to>
      <xdr:col>21</xdr:col>
      <xdr:colOff>942975</xdr:colOff>
      <xdr:row>11</xdr:row>
      <xdr:rowOff>0</xdr:rowOff>
    </xdr:to>
    <xdr:sp macro="" textlink="">
      <xdr:nvSpPr>
        <xdr:cNvPr id="12" name="Line 8"/>
        <xdr:cNvSpPr>
          <a:spLocks noChangeShapeType="1"/>
        </xdr:cNvSpPr>
      </xdr:nvSpPr>
      <xdr:spPr bwMode="auto">
        <a:xfrm>
          <a:off x="147224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0</xdr:colOff>
      <xdr:row>11</xdr:row>
      <xdr:rowOff>0</xdr:rowOff>
    </xdr:from>
    <xdr:to>
      <xdr:col>22</xdr:col>
      <xdr:colOff>0</xdr:colOff>
      <xdr:row>11</xdr:row>
      <xdr:rowOff>0</xdr:rowOff>
    </xdr:to>
    <xdr:sp macro="" textlink="">
      <xdr:nvSpPr>
        <xdr:cNvPr id="13" name="Line 10"/>
        <xdr:cNvSpPr>
          <a:spLocks noChangeShapeType="1"/>
        </xdr:cNvSpPr>
      </xdr:nvSpPr>
      <xdr:spPr bwMode="auto">
        <a:xfrm flipV="1">
          <a:off x="147129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9525</xdr:colOff>
      <xdr:row>11</xdr:row>
      <xdr:rowOff>0</xdr:rowOff>
    </xdr:from>
    <xdr:to>
      <xdr:col>22</xdr:col>
      <xdr:colOff>942975</xdr:colOff>
      <xdr:row>11</xdr:row>
      <xdr:rowOff>0</xdr:rowOff>
    </xdr:to>
    <xdr:sp macro="" textlink="">
      <xdr:nvSpPr>
        <xdr:cNvPr id="14" name="Line 8"/>
        <xdr:cNvSpPr>
          <a:spLocks noChangeShapeType="1"/>
        </xdr:cNvSpPr>
      </xdr:nvSpPr>
      <xdr:spPr bwMode="auto">
        <a:xfrm>
          <a:off x="153320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11</xdr:row>
      <xdr:rowOff>0</xdr:rowOff>
    </xdr:from>
    <xdr:to>
      <xdr:col>23</xdr:col>
      <xdr:colOff>0</xdr:colOff>
      <xdr:row>11</xdr:row>
      <xdr:rowOff>0</xdr:rowOff>
    </xdr:to>
    <xdr:sp macro="" textlink="">
      <xdr:nvSpPr>
        <xdr:cNvPr id="15" name="Line 10"/>
        <xdr:cNvSpPr>
          <a:spLocks noChangeShapeType="1"/>
        </xdr:cNvSpPr>
      </xdr:nvSpPr>
      <xdr:spPr bwMode="auto">
        <a:xfrm flipV="1">
          <a:off x="153225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9525</xdr:colOff>
      <xdr:row>11</xdr:row>
      <xdr:rowOff>0</xdr:rowOff>
    </xdr:from>
    <xdr:to>
      <xdr:col>23</xdr:col>
      <xdr:colOff>942975</xdr:colOff>
      <xdr:row>11</xdr:row>
      <xdr:rowOff>0</xdr:rowOff>
    </xdr:to>
    <xdr:sp macro="" textlink="">
      <xdr:nvSpPr>
        <xdr:cNvPr id="16" name="Line 8"/>
        <xdr:cNvSpPr>
          <a:spLocks noChangeShapeType="1"/>
        </xdr:cNvSpPr>
      </xdr:nvSpPr>
      <xdr:spPr bwMode="auto">
        <a:xfrm>
          <a:off x="15941675" y="2457450"/>
          <a:ext cx="600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11</xdr:row>
      <xdr:rowOff>0</xdr:rowOff>
    </xdr:from>
    <xdr:to>
      <xdr:col>24</xdr:col>
      <xdr:colOff>0</xdr:colOff>
      <xdr:row>11</xdr:row>
      <xdr:rowOff>0</xdr:rowOff>
    </xdr:to>
    <xdr:sp macro="" textlink="">
      <xdr:nvSpPr>
        <xdr:cNvPr id="17" name="Line 10"/>
        <xdr:cNvSpPr>
          <a:spLocks noChangeShapeType="1"/>
        </xdr:cNvSpPr>
      </xdr:nvSpPr>
      <xdr:spPr bwMode="auto">
        <a:xfrm flipV="1">
          <a:off x="15932150" y="2457450"/>
          <a:ext cx="609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825500</xdr:colOff>
      <xdr:row>35</xdr:row>
      <xdr:rowOff>52917</xdr:rowOff>
    </xdr:from>
    <xdr:to>
      <xdr:col>5</xdr:col>
      <xdr:colOff>1797050</xdr:colOff>
      <xdr:row>35</xdr:row>
      <xdr:rowOff>538692</xdr:rowOff>
    </xdr:to>
    <xdr:pic>
      <xdr:nvPicPr>
        <xdr:cNvPr id="2" name="Picture 1"/>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855700" y="15769167"/>
          <a:ext cx="9715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740833</xdr:colOff>
      <xdr:row>36</xdr:row>
      <xdr:rowOff>201083</xdr:rowOff>
    </xdr:from>
    <xdr:to>
      <xdr:col>5</xdr:col>
      <xdr:colOff>1950508</xdr:colOff>
      <xdr:row>36</xdr:row>
      <xdr:rowOff>382058</xdr:rowOff>
    </xdr:to>
    <xdr:pic>
      <xdr:nvPicPr>
        <xdr:cNvPr id="3" name="Picture 2"/>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71033" y="16403108"/>
          <a:ext cx="12096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825500</xdr:colOff>
      <xdr:row>35</xdr:row>
      <xdr:rowOff>52917</xdr:rowOff>
    </xdr:from>
    <xdr:to>
      <xdr:col>5</xdr:col>
      <xdr:colOff>1797050</xdr:colOff>
      <xdr:row>35</xdr:row>
      <xdr:rowOff>538692</xdr:rowOff>
    </xdr:to>
    <xdr:pic>
      <xdr:nvPicPr>
        <xdr:cNvPr id="4" name="Picture 3"/>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855700" y="15769167"/>
          <a:ext cx="9715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740833</xdr:colOff>
      <xdr:row>36</xdr:row>
      <xdr:rowOff>201083</xdr:rowOff>
    </xdr:from>
    <xdr:to>
      <xdr:col>5</xdr:col>
      <xdr:colOff>1950508</xdr:colOff>
      <xdr:row>36</xdr:row>
      <xdr:rowOff>382058</xdr:rowOff>
    </xdr:to>
    <xdr:pic>
      <xdr:nvPicPr>
        <xdr:cNvPr id="5" name="Picture 4"/>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771033" y="16403108"/>
          <a:ext cx="12096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Kostadin%20Kolarov_2\My%20Documents\Mobile\New%20Business%20Pla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dk-kpeev\Desktop\UKAZANIQ\BP\Model_BP_Prilojeniq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исание на продуктите"/>
      <sheetName val="Състояние на продуктите"/>
      <sheetName val="Пазарна прогноза (1)"/>
      <sheetName val="Пазарна прогноза (2)"/>
      <sheetName val="Пазарна прогноза (3)"/>
      <sheetName val="Пазарна прогноза (4)"/>
      <sheetName val="Пазарна прогноза (5)"/>
      <sheetName val="План за персонала"/>
      <sheetName val="ОПР 96-98"/>
      <sheetName val="Баланси 96-98"/>
      <sheetName val="Минали отчети"/>
      <sheetName val="Начало"/>
      <sheetName val="Начален баланс"/>
      <sheetName val="Прогнозни продажби"/>
      <sheetName val="Себестойност"/>
      <sheetName val="Постоянни разходи"/>
      <sheetName val="Инвестиции"/>
      <sheetName val="Собствен капитал"/>
      <sheetName val="Разчети по ДДС"/>
      <sheetName val="Проформа ОПР"/>
      <sheetName val="Проформа ОПП"/>
      <sheetName val="Проформа баланси"/>
      <sheetName val="Буфер"/>
      <sheetName val="Финансови показатели"/>
      <sheetName val="Оценка на проекта"/>
      <sheetName val="Мин. и оч. резултати"/>
      <sheetName val="Критични точки"/>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refreshError="1">
        <row r="124">
          <cell r="B124" t="str">
            <v>Електроенергия</v>
          </cell>
          <cell r="C124">
            <v>29491.133333333335</v>
          </cell>
          <cell r="D124">
            <v>29488.799999999999</v>
          </cell>
          <cell r="E124">
            <v>29488.799999999999</v>
          </cell>
          <cell r="F124">
            <v>29488.799999999999</v>
          </cell>
          <cell r="G124">
            <v>29488.799999999999</v>
          </cell>
          <cell r="H124">
            <v>29488.799999999999</v>
          </cell>
          <cell r="I124">
            <v>29488.799999999999</v>
          </cell>
          <cell r="J124">
            <v>29488.799999999999</v>
          </cell>
          <cell r="K124">
            <v>29488.799999999999</v>
          </cell>
          <cell r="L124">
            <v>29488.799999999999</v>
          </cell>
          <cell r="M124">
            <v>29488.799999999999</v>
          </cell>
          <cell r="N124">
            <v>29488.799999999999</v>
          </cell>
          <cell r="O124">
            <v>353867.93333333329</v>
          </cell>
          <cell r="P124">
            <v>357142.80000000005</v>
          </cell>
          <cell r="Q124">
            <v>364285.65600000002</v>
          </cell>
          <cell r="R124">
            <v>371571.36912000005</v>
          </cell>
          <cell r="S124">
            <v>379002.79650240007</v>
          </cell>
          <cell r="T124">
            <v>386582.85243244807</v>
          </cell>
        </row>
        <row r="125">
          <cell r="B125" t="str">
            <v>Отчетна стойност на продадените стоки</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row>
        <row r="126">
          <cell r="B126" t="str">
            <v>Услуги и др.</v>
          </cell>
          <cell r="C126">
            <v>18927.500000000004</v>
          </cell>
          <cell r="D126">
            <v>18926</v>
          </cell>
          <cell r="E126">
            <v>18926</v>
          </cell>
          <cell r="F126">
            <v>18926</v>
          </cell>
          <cell r="G126">
            <v>18926</v>
          </cell>
          <cell r="H126">
            <v>18926</v>
          </cell>
          <cell r="I126">
            <v>18926</v>
          </cell>
          <cell r="J126">
            <v>18926</v>
          </cell>
          <cell r="K126">
            <v>18926</v>
          </cell>
          <cell r="L126">
            <v>18926</v>
          </cell>
          <cell r="M126">
            <v>18926</v>
          </cell>
          <cell r="N126">
            <v>18926</v>
          </cell>
          <cell r="O126">
            <v>227113.5</v>
          </cell>
          <cell r="P126">
            <v>229591.8</v>
          </cell>
          <cell r="Q126">
            <v>234183.636</v>
          </cell>
          <cell r="R126">
            <v>238867.30872</v>
          </cell>
          <cell r="S126">
            <v>243644.65489439998</v>
          </cell>
          <cell r="T126">
            <v>248517.54799228802</v>
          </cell>
        </row>
      </sheetData>
      <sheetData sheetId="15"/>
      <sheetData sheetId="16" refreshError="1">
        <row r="40">
          <cell r="E40">
            <v>151605.31</v>
          </cell>
        </row>
        <row r="43">
          <cell r="M43" t="str">
            <v>Всичко начислени амортизации</v>
          </cell>
          <cell r="O43">
            <v>151605.31</v>
          </cell>
          <cell r="P43">
            <v>247855.31000000003</v>
          </cell>
          <cell r="Q43">
            <v>265355.31000000006</v>
          </cell>
          <cell r="R43">
            <v>274105.31</v>
          </cell>
          <cell r="S43">
            <v>282855.31</v>
          </cell>
          <cell r="T43">
            <v>291605.31</v>
          </cell>
        </row>
      </sheetData>
      <sheetData sheetId="17" refreshError="1">
        <row r="4">
          <cell r="B4" t="str">
            <v>Получени съучастия (увеличение на собствения капитал)</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row>
        <row r="5">
          <cell r="B5" t="str">
            <v>Получени вземания по записани дялови вноски</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t="str">
            <v>Намаление на собствения капитал</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row>
        <row r="7">
          <cell r="B7" t="str">
            <v>Вземания по получени през периода съучастия</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row>
      </sheetData>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етикет"/>
      <sheetName val=" 2.  Експлоатационни данни"/>
      <sheetName val="5. Целеви нива"/>
      <sheetName val="2. Производствена програма"/>
      <sheetName val="3. Ремонтна програма"/>
      <sheetName val="4. Намаляване на загубите"/>
      <sheetName val="5. Подобряване на ефективността"/>
      <sheetName val="6. Инвестиции"/>
      <sheetName val="6.1. Инв.пр- доставяне"/>
      <sheetName val="6.2. Инв.пр.-отвеждане"/>
      <sheetName val="6.3.Инв.пр.-пречистване"/>
      <sheetName val="7. Активи"/>
      <sheetName val="7.1. Предст. въвеж. активи"/>
      <sheetName val="8. Амортизационен план "/>
      <sheetName val="9. Ниво на протребление"/>
      <sheetName val="10. Разходи"/>
      <sheetName val="11.Цени и приходи  "/>
      <sheetName val="12.Соц. поносимост"/>
      <sheetName val="13. Персонала"/>
      <sheetName val="13.1.Квалиф. структура"/>
      <sheetName val="14.Соц. програма "/>
      <sheetName val="Sheet4"/>
      <sheetName val="6_ Инвестици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4.xml"/><Relationship Id="rId1" Type="http://schemas.openxmlformats.org/officeDocument/2006/relationships/printerSettings" Target="../printerSettings/printerSettings25.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2:K65"/>
  <sheetViews>
    <sheetView showGridLines="0" tabSelected="1" view="pageBreakPreview" topLeftCell="A4" zoomScaleNormal="90" zoomScaleSheetLayoutView="100" workbookViewId="0">
      <selection activeCell="G15" sqref="G15:J15"/>
    </sheetView>
  </sheetViews>
  <sheetFormatPr defaultRowHeight="15.75"/>
  <cols>
    <col min="1" max="1" width="4.140625" style="135" customWidth="1"/>
    <col min="2" max="2" width="7.5703125" style="135" customWidth="1"/>
    <col min="3" max="3" width="8.42578125" style="135" customWidth="1"/>
    <col min="4" max="4" width="6.5703125" style="135" customWidth="1"/>
    <col min="5" max="5" width="7.42578125" style="135" customWidth="1"/>
    <col min="6" max="6" width="21.7109375" style="135" customWidth="1"/>
    <col min="7" max="7" width="20.7109375" style="135" customWidth="1"/>
    <col min="8" max="8" width="27.140625" style="135" customWidth="1"/>
    <col min="9" max="9" width="25.28515625" style="135" customWidth="1"/>
    <col min="10" max="10" width="30.5703125" style="135" customWidth="1"/>
    <col min="11" max="11" width="15.28515625" style="135" customWidth="1"/>
    <col min="12" max="12" width="19" style="135" customWidth="1"/>
    <col min="13" max="13" width="21.140625" style="135" bestFit="1" customWidth="1"/>
    <col min="14" max="14" width="15" style="135" customWidth="1"/>
    <col min="15" max="16384" width="9.140625" style="135"/>
  </cols>
  <sheetData>
    <row r="2" spans="1:11" ht="26.25" customHeight="1">
      <c r="A2" s="3236" t="s">
        <v>93</v>
      </c>
      <c r="B2" s="3236"/>
      <c r="C2" s="3236"/>
      <c r="D2" s="3236"/>
      <c r="E2" s="3236"/>
      <c r="F2" s="3236"/>
      <c r="G2" s="3236"/>
      <c r="H2" s="3236"/>
      <c r="I2" s="3236"/>
      <c r="J2" s="3236"/>
      <c r="K2" s="134"/>
    </row>
    <row r="3" spans="1:11" ht="15" customHeight="1">
      <c r="A3" s="3237" t="str">
        <f>"на "&amp;G8&amp;", гр. "&amp;G9</f>
        <v>на "Водоснабдяване и канализация" ООД , гр. Враца</v>
      </c>
      <c r="B3" s="3237"/>
      <c r="C3" s="3237"/>
      <c r="D3" s="3237"/>
      <c r="E3" s="3237"/>
      <c r="F3" s="3237"/>
      <c r="G3" s="3237"/>
      <c r="H3" s="3237"/>
      <c r="I3" s="3237"/>
      <c r="J3" s="3237"/>
      <c r="K3" s="136"/>
    </row>
    <row r="4" spans="1:11" ht="15" customHeight="1">
      <c r="A4" s="3237" t="str">
        <f>"ЕИК по БУЛСТАТ: " &amp;G10</f>
        <v>ЕИК по БУЛСТАТ: 816090199</v>
      </c>
      <c r="B4" s="3237"/>
      <c r="C4" s="3237"/>
      <c r="D4" s="3237"/>
      <c r="E4" s="3237"/>
      <c r="F4" s="3237"/>
      <c r="G4" s="3237"/>
      <c r="H4" s="3237"/>
      <c r="I4" s="3237"/>
      <c r="J4" s="3237"/>
      <c r="K4" s="136"/>
    </row>
    <row r="5" spans="1:11" ht="16.5" thickBot="1"/>
    <row r="6" spans="1:11">
      <c r="A6" s="3238" t="s">
        <v>1</v>
      </c>
      <c r="B6" s="3240" t="s">
        <v>94</v>
      </c>
      <c r="C6" s="3241"/>
      <c r="D6" s="3241"/>
      <c r="E6" s="3241"/>
      <c r="F6" s="3241"/>
      <c r="G6" s="3241"/>
      <c r="H6" s="3241"/>
      <c r="I6" s="3241"/>
      <c r="J6" s="3242"/>
    </row>
    <row r="7" spans="1:11" ht="16.5" thickBot="1">
      <c r="A7" s="3239"/>
      <c r="B7" s="3243" t="s">
        <v>95</v>
      </c>
      <c r="C7" s="3244"/>
      <c r="D7" s="3244"/>
      <c r="E7" s="3244"/>
      <c r="F7" s="3245"/>
      <c r="G7" s="3246" t="s">
        <v>96</v>
      </c>
      <c r="H7" s="3247"/>
      <c r="I7" s="3247"/>
      <c r="J7" s="3248"/>
    </row>
    <row r="8" spans="1:11">
      <c r="A8" s="137">
        <v>1</v>
      </c>
      <c r="B8" s="3249" t="s">
        <v>97</v>
      </c>
      <c r="C8" s="3250"/>
      <c r="D8" s="3250"/>
      <c r="E8" s="3250"/>
      <c r="F8" s="3251"/>
      <c r="G8" s="3252" t="s">
        <v>1582</v>
      </c>
      <c r="H8" s="3253"/>
      <c r="I8" s="3253"/>
      <c r="J8" s="3254"/>
    </row>
    <row r="9" spans="1:11">
      <c r="A9" s="138" t="s">
        <v>98</v>
      </c>
      <c r="B9" s="3177" t="s">
        <v>100</v>
      </c>
      <c r="C9" s="3178"/>
      <c r="D9" s="3178"/>
      <c r="E9" s="3178"/>
      <c r="F9" s="3179"/>
      <c r="G9" s="3255" t="s">
        <v>1578</v>
      </c>
      <c r="H9" s="3256"/>
      <c r="I9" s="3256"/>
      <c r="J9" s="3257"/>
    </row>
    <row r="10" spans="1:11">
      <c r="A10" s="138" t="s">
        <v>99</v>
      </c>
      <c r="B10" s="3177" t="s">
        <v>102</v>
      </c>
      <c r="C10" s="3178"/>
      <c r="D10" s="3178"/>
      <c r="E10" s="3178"/>
      <c r="F10" s="3179"/>
      <c r="G10" s="3233" t="s">
        <v>1579</v>
      </c>
      <c r="H10" s="3234"/>
      <c r="I10" s="3234"/>
      <c r="J10" s="3235"/>
    </row>
    <row r="11" spans="1:11" ht="16.5" thickBot="1">
      <c r="A11" s="139" t="s">
        <v>103</v>
      </c>
      <c r="B11" s="3192" t="s">
        <v>104</v>
      </c>
      <c r="C11" s="3193"/>
      <c r="D11" s="3193"/>
      <c r="E11" s="3193"/>
      <c r="F11" s="3194"/>
      <c r="G11" s="3195"/>
      <c r="H11" s="3196"/>
      <c r="I11" s="3196"/>
      <c r="J11" s="3197"/>
    </row>
    <row r="12" spans="1:11" ht="16.5" thickBot="1">
      <c r="A12" s="140" t="s">
        <v>105</v>
      </c>
      <c r="B12" s="3198" t="s">
        <v>106</v>
      </c>
      <c r="C12" s="3199"/>
      <c r="D12" s="3199"/>
      <c r="E12" s="3199"/>
      <c r="F12" s="3200"/>
      <c r="G12" s="3201" t="s">
        <v>109</v>
      </c>
      <c r="H12" s="3201"/>
      <c r="I12" s="3201"/>
      <c r="J12" s="3202"/>
    </row>
    <row r="13" spans="1:11">
      <c r="A13" s="3154" t="s">
        <v>107</v>
      </c>
      <c r="B13" s="3221" t="s">
        <v>108</v>
      </c>
      <c r="C13" s="3222"/>
      <c r="D13" s="3222"/>
      <c r="E13" s="3222"/>
      <c r="F13" s="3223"/>
      <c r="G13" s="3230" t="s">
        <v>131</v>
      </c>
      <c r="H13" s="3231"/>
      <c r="I13" s="3231"/>
      <c r="J13" s="3232"/>
    </row>
    <row r="14" spans="1:11">
      <c r="A14" s="3155"/>
      <c r="B14" s="3224"/>
      <c r="C14" s="3225"/>
      <c r="D14" s="3225"/>
      <c r="E14" s="3225"/>
      <c r="F14" s="3226"/>
      <c r="G14" s="3203" t="s">
        <v>132</v>
      </c>
      <c r="H14" s="3204"/>
      <c r="I14" s="3204"/>
      <c r="J14" s="3205"/>
    </row>
    <row r="15" spans="1:11">
      <c r="A15" s="3155"/>
      <c r="B15" s="3224"/>
      <c r="C15" s="3225"/>
      <c r="D15" s="3225"/>
      <c r="E15" s="3225"/>
      <c r="F15" s="3226"/>
      <c r="G15" s="3203" t="s">
        <v>133</v>
      </c>
      <c r="H15" s="3204"/>
      <c r="I15" s="3204"/>
      <c r="J15" s="3205"/>
    </row>
    <row r="16" spans="1:11">
      <c r="A16" s="3155"/>
      <c r="B16" s="3224"/>
      <c r="C16" s="3225"/>
      <c r="D16" s="3225"/>
      <c r="E16" s="3225"/>
      <c r="F16" s="3226"/>
      <c r="G16" s="3203" t="s">
        <v>134</v>
      </c>
      <c r="H16" s="3204"/>
      <c r="I16" s="3204"/>
      <c r="J16" s="3205"/>
    </row>
    <row r="17" spans="1:10">
      <c r="A17" s="3155"/>
      <c r="B17" s="3224"/>
      <c r="C17" s="3225"/>
      <c r="D17" s="3225"/>
      <c r="E17" s="3225"/>
      <c r="F17" s="3226"/>
      <c r="G17" s="3203" t="s">
        <v>135</v>
      </c>
      <c r="H17" s="3204"/>
      <c r="I17" s="3204"/>
      <c r="J17" s="3205"/>
    </row>
    <row r="18" spans="1:10" ht="16.5" thickBot="1">
      <c r="A18" s="3156"/>
      <c r="B18" s="3227"/>
      <c r="C18" s="3228"/>
      <c r="D18" s="3228"/>
      <c r="E18" s="3228"/>
      <c r="F18" s="3229"/>
      <c r="G18" s="3206" t="s">
        <v>987</v>
      </c>
      <c r="H18" s="3207"/>
      <c r="I18" s="3207"/>
      <c r="J18" s="3208"/>
    </row>
    <row r="19" spans="1:10">
      <c r="A19" s="139" t="s">
        <v>110</v>
      </c>
      <c r="B19" s="3209" t="s">
        <v>924</v>
      </c>
      <c r="C19" s="3210"/>
      <c r="D19" s="3210"/>
      <c r="E19" s="3210"/>
      <c r="F19" s="3211"/>
      <c r="G19" s="3218" t="s">
        <v>1614</v>
      </c>
      <c r="H19" s="3219"/>
      <c r="I19" s="3219"/>
      <c r="J19" s="3220"/>
    </row>
    <row r="20" spans="1:10">
      <c r="A20" s="139" t="s">
        <v>111</v>
      </c>
      <c r="B20" s="3212" t="s">
        <v>112</v>
      </c>
      <c r="C20" s="3213"/>
      <c r="D20" s="3213"/>
      <c r="E20" s="3213"/>
      <c r="F20" s="3214"/>
      <c r="G20" s="3215"/>
      <c r="H20" s="3216"/>
      <c r="I20" s="3216"/>
      <c r="J20" s="3217"/>
    </row>
    <row r="21" spans="1:10">
      <c r="A21" s="138" t="s">
        <v>113</v>
      </c>
      <c r="B21" s="3177" t="s">
        <v>927</v>
      </c>
      <c r="C21" s="3178"/>
      <c r="D21" s="3178"/>
      <c r="E21" s="3178"/>
      <c r="F21" s="3179"/>
      <c r="G21" s="3189" t="s">
        <v>1580</v>
      </c>
      <c r="H21" s="3190"/>
      <c r="I21" s="3190"/>
      <c r="J21" s="3191"/>
    </row>
    <row r="22" spans="1:10" ht="16.5" thickBot="1">
      <c r="A22" s="138" t="s">
        <v>115</v>
      </c>
      <c r="B22" s="3177" t="s">
        <v>926</v>
      </c>
      <c r="C22" s="3178"/>
      <c r="D22" s="3178"/>
      <c r="E22" s="3178"/>
      <c r="F22" s="3179"/>
      <c r="G22" s="3180" t="s">
        <v>1581</v>
      </c>
      <c r="H22" s="3181"/>
      <c r="I22" s="3181"/>
      <c r="J22" s="3182"/>
    </row>
    <row r="23" spans="1:10">
      <c r="A23" s="139" t="s">
        <v>117</v>
      </c>
      <c r="B23" s="3183" t="s">
        <v>118</v>
      </c>
      <c r="C23" s="3184"/>
      <c r="D23" s="3184"/>
      <c r="E23" s="3184"/>
      <c r="F23" s="3185"/>
      <c r="G23" s="3186"/>
      <c r="H23" s="3187"/>
      <c r="I23" s="3187"/>
      <c r="J23" s="3188"/>
    </row>
    <row r="24" spans="1:10">
      <c r="A24" s="141" t="s">
        <v>119</v>
      </c>
      <c r="B24" s="3172" t="s">
        <v>120</v>
      </c>
      <c r="C24" s="3173"/>
      <c r="D24" s="3173"/>
      <c r="E24" s="3173"/>
      <c r="F24" s="3174"/>
      <c r="G24" s="3169" t="s">
        <v>121</v>
      </c>
      <c r="H24" s="3170"/>
      <c r="I24" s="3170"/>
      <c r="J24" s="3171"/>
    </row>
    <row r="25" spans="1:10">
      <c r="A25" s="142"/>
      <c r="B25" s="3157" t="s">
        <v>122</v>
      </c>
      <c r="C25" s="3158"/>
      <c r="D25" s="3158"/>
      <c r="E25" s="3158"/>
      <c r="F25" s="3159"/>
      <c r="G25" s="442" t="s">
        <v>123</v>
      </c>
      <c r="H25" s="143"/>
      <c r="I25" s="143"/>
      <c r="J25" s="144"/>
    </row>
    <row r="26" spans="1:10">
      <c r="A26" s="141" t="s">
        <v>124</v>
      </c>
      <c r="B26" s="3172" t="s">
        <v>125</v>
      </c>
      <c r="C26" s="3173"/>
      <c r="D26" s="3173"/>
      <c r="E26" s="3173"/>
      <c r="F26" s="3174"/>
      <c r="G26" s="3169" t="s">
        <v>126</v>
      </c>
      <c r="H26" s="3170"/>
      <c r="I26" s="3170"/>
      <c r="J26" s="3171"/>
    </row>
    <row r="27" spans="1:10">
      <c r="A27" s="3175"/>
      <c r="B27" s="3157" t="s">
        <v>122</v>
      </c>
      <c r="C27" s="3158"/>
      <c r="D27" s="3158"/>
      <c r="E27" s="3158"/>
      <c r="F27" s="3159"/>
      <c r="G27" s="442" t="s">
        <v>496</v>
      </c>
      <c r="H27" s="599"/>
      <c r="I27" s="599"/>
      <c r="J27" s="600"/>
    </row>
    <row r="28" spans="1:10">
      <c r="A28" s="3176"/>
      <c r="B28" s="3160"/>
      <c r="C28" s="3161"/>
      <c r="D28" s="3161"/>
      <c r="E28" s="3161"/>
      <c r="F28" s="3162"/>
      <c r="G28" s="442" t="s">
        <v>499</v>
      </c>
      <c r="H28" s="143"/>
      <c r="I28" s="143"/>
      <c r="J28" s="144"/>
    </row>
    <row r="29" spans="1:10">
      <c r="A29" s="3176"/>
      <c r="B29" s="3160"/>
      <c r="C29" s="3161"/>
      <c r="D29" s="3161"/>
      <c r="E29" s="3161"/>
      <c r="F29" s="3162"/>
      <c r="G29" s="1421" t="s">
        <v>1440</v>
      </c>
      <c r="H29" s="609"/>
      <c r="I29" s="609"/>
      <c r="J29" s="610"/>
    </row>
    <row r="30" spans="1:10">
      <c r="A30" s="161"/>
      <c r="B30" s="3160"/>
      <c r="C30" s="3161"/>
      <c r="D30" s="3161"/>
      <c r="E30" s="3161"/>
      <c r="F30" s="3162"/>
      <c r="G30" s="442" t="s">
        <v>751</v>
      </c>
      <c r="H30" s="442"/>
      <c r="I30" s="442"/>
      <c r="J30" s="445"/>
    </row>
    <row r="31" spans="1:10">
      <c r="A31" s="161"/>
      <c r="B31" s="3160"/>
      <c r="C31" s="3161"/>
      <c r="D31" s="3161"/>
      <c r="E31" s="3161"/>
      <c r="F31" s="3162"/>
      <c r="G31" s="442" t="s">
        <v>1402</v>
      </c>
      <c r="H31" s="442"/>
      <c r="I31" s="442"/>
      <c r="J31" s="445"/>
    </row>
    <row r="32" spans="1:10">
      <c r="A32" s="411"/>
      <c r="B32" s="3160"/>
      <c r="C32" s="3161"/>
      <c r="D32" s="3161"/>
      <c r="E32" s="3161"/>
      <c r="F32" s="3162"/>
      <c r="G32" s="442" t="s">
        <v>874</v>
      </c>
      <c r="H32" s="442"/>
      <c r="I32" s="442"/>
      <c r="J32" s="445"/>
    </row>
    <row r="33" spans="1:10">
      <c r="A33" s="161"/>
      <c r="B33" s="3163"/>
      <c r="C33" s="3164"/>
      <c r="D33" s="3164"/>
      <c r="E33" s="3164"/>
      <c r="F33" s="3165"/>
      <c r="G33" s="442" t="s">
        <v>813</v>
      </c>
      <c r="H33" s="442"/>
      <c r="I33" s="442"/>
      <c r="J33" s="445"/>
    </row>
    <row r="34" spans="1:10">
      <c r="A34" s="141" t="s">
        <v>91</v>
      </c>
      <c r="B34" s="3172" t="s">
        <v>127</v>
      </c>
      <c r="C34" s="3173"/>
      <c r="D34" s="3173"/>
      <c r="E34" s="3173"/>
      <c r="F34" s="3174"/>
      <c r="G34" s="3169" t="s">
        <v>128</v>
      </c>
      <c r="H34" s="3170"/>
      <c r="I34" s="3170"/>
      <c r="J34" s="3171"/>
    </row>
    <row r="35" spans="1:10">
      <c r="A35" s="3154"/>
      <c r="B35" s="3157" t="s">
        <v>122</v>
      </c>
      <c r="C35" s="3158"/>
      <c r="D35" s="3158"/>
      <c r="E35" s="3158"/>
      <c r="F35" s="3159"/>
      <c r="G35" s="442" t="s">
        <v>814</v>
      </c>
      <c r="H35" s="442"/>
      <c r="I35" s="442"/>
      <c r="J35" s="445"/>
    </row>
    <row r="36" spans="1:10">
      <c r="A36" s="3155"/>
      <c r="B36" s="3160"/>
      <c r="C36" s="3161"/>
      <c r="D36" s="3161"/>
      <c r="E36" s="3161"/>
      <c r="F36" s="3162"/>
      <c r="G36" s="442" t="s">
        <v>815</v>
      </c>
      <c r="H36" s="442"/>
      <c r="I36" s="442"/>
      <c r="J36" s="445"/>
    </row>
    <row r="37" spans="1:10">
      <c r="A37" s="3155"/>
      <c r="B37" s="3160"/>
      <c r="C37" s="3161"/>
      <c r="D37" s="3161"/>
      <c r="E37" s="3161"/>
      <c r="F37" s="3162"/>
      <c r="G37" s="442" t="s">
        <v>816</v>
      </c>
      <c r="H37" s="442"/>
      <c r="I37" s="442"/>
      <c r="J37" s="445"/>
    </row>
    <row r="38" spans="1:10">
      <c r="A38" s="3155"/>
      <c r="B38" s="3160"/>
      <c r="C38" s="3161"/>
      <c r="D38" s="3161"/>
      <c r="E38" s="3161"/>
      <c r="F38" s="3162"/>
      <c r="G38" s="442" t="s">
        <v>1403</v>
      </c>
      <c r="H38" s="442"/>
      <c r="I38" s="442"/>
      <c r="J38" s="445"/>
    </row>
    <row r="39" spans="1:10">
      <c r="A39" s="3155"/>
      <c r="B39" s="3160"/>
      <c r="C39" s="3161"/>
      <c r="D39" s="3161"/>
      <c r="E39" s="3161"/>
      <c r="F39" s="3162"/>
      <c r="G39" s="1422" t="s">
        <v>1404</v>
      </c>
      <c r="H39" s="442"/>
      <c r="I39" s="442"/>
      <c r="J39" s="445"/>
    </row>
    <row r="40" spans="1:10" ht="15.75" customHeight="1">
      <c r="A40" s="3155"/>
      <c r="B40" s="3160"/>
      <c r="C40" s="3161"/>
      <c r="D40" s="3161"/>
      <c r="E40" s="3161"/>
      <c r="F40" s="3162"/>
      <c r="G40" s="1422" t="s">
        <v>823</v>
      </c>
      <c r="H40" s="442"/>
      <c r="I40" s="442"/>
      <c r="J40" s="445"/>
    </row>
    <row r="41" spans="1:10" ht="15.75" customHeight="1">
      <c r="A41" s="3156"/>
      <c r="B41" s="3163"/>
      <c r="C41" s="3164"/>
      <c r="D41" s="3164"/>
      <c r="E41" s="3164"/>
      <c r="F41" s="3165"/>
      <c r="G41" s="1422" t="s">
        <v>1405</v>
      </c>
      <c r="H41" s="442"/>
      <c r="I41" s="442"/>
      <c r="J41" s="445"/>
    </row>
    <row r="42" spans="1:10">
      <c r="A42" s="141" t="s">
        <v>92</v>
      </c>
      <c r="B42" s="3172" t="s">
        <v>129</v>
      </c>
      <c r="C42" s="3173"/>
      <c r="D42" s="3173"/>
      <c r="E42" s="3173"/>
      <c r="F42" s="3174"/>
      <c r="G42" s="3169" t="s">
        <v>130</v>
      </c>
      <c r="H42" s="3170"/>
      <c r="I42" s="3170"/>
      <c r="J42" s="3171"/>
    </row>
    <row r="43" spans="1:10">
      <c r="A43" s="141"/>
      <c r="B43" s="3160" t="s">
        <v>122</v>
      </c>
      <c r="C43" s="3161"/>
      <c r="D43" s="3161"/>
      <c r="E43" s="3161"/>
      <c r="F43" s="3162"/>
      <c r="G43" s="442" t="s">
        <v>824</v>
      </c>
      <c r="H43" s="446"/>
      <c r="I43" s="442"/>
      <c r="J43" s="445"/>
    </row>
    <row r="44" spans="1:10">
      <c r="A44" s="141" t="s">
        <v>491</v>
      </c>
      <c r="B44" s="3172" t="s">
        <v>492</v>
      </c>
      <c r="C44" s="3173"/>
      <c r="D44" s="3173"/>
      <c r="E44" s="3173"/>
      <c r="F44" s="3174"/>
      <c r="G44" s="3169" t="s">
        <v>755</v>
      </c>
      <c r="H44" s="3170"/>
      <c r="I44" s="3170"/>
      <c r="J44" s="3171"/>
    </row>
    <row r="45" spans="1:10">
      <c r="A45" s="3154"/>
      <c r="B45" s="3157" t="s">
        <v>122</v>
      </c>
      <c r="C45" s="3158"/>
      <c r="D45" s="3158"/>
      <c r="E45" s="3158"/>
      <c r="F45" s="3159"/>
      <c r="G45" s="442" t="s">
        <v>825</v>
      </c>
      <c r="H45" s="599"/>
      <c r="I45" s="599"/>
      <c r="J45" s="600"/>
    </row>
    <row r="46" spans="1:10">
      <c r="A46" s="3156"/>
      <c r="B46" s="3160"/>
      <c r="C46" s="3161"/>
      <c r="D46" s="3161"/>
      <c r="E46" s="3161"/>
      <c r="F46" s="3162"/>
      <c r="G46" s="442" t="s">
        <v>826</v>
      </c>
      <c r="H46" s="599"/>
      <c r="I46" s="599"/>
      <c r="J46" s="600"/>
    </row>
    <row r="47" spans="1:10">
      <c r="A47" s="141" t="s">
        <v>752</v>
      </c>
      <c r="B47" s="3172" t="s">
        <v>494</v>
      </c>
      <c r="C47" s="3173"/>
      <c r="D47" s="3173"/>
      <c r="E47" s="3173"/>
      <c r="F47" s="3174"/>
      <c r="G47" s="3169" t="s">
        <v>493</v>
      </c>
      <c r="H47" s="3170"/>
      <c r="I47" s="3170"/>
      <c r="J47" s="3171"/>
    </row>
    <row r="48" spans="1:10">
      <c r="A48" s="3154"/>
      <c r="B48" s="3157" t="s">
        <v>122</v>
      </c>
      <c r="C48" s="3158"/>
      <c r="D48" s="3158"/>
      <c r="E48" s="3158"/>
      <c r="F48" s="3159"/>
      <c r="G48" s="442" t="s">
        <v>827</v>
      </c>
      <c r="H48" s="442"/>
      <c r="I48" s="442"/>
      <c r="J48" s="445"/>
    </row>
    <row r="49" spans="1:11">
      <c r="A49" s="3155"/>
      <c r="B49" s="3160"/>
      <c r="C49" s="3161"/>
      <c r="D49" s="3161"/>
      <c r="E49" s="3161"/>
      <c r="F49" s="3162"/>
      <c r="G49" s="442" t="s">
        <v>828</v>
      </c>
      <c r="H49" s="442"/>
      <c r="I49" s="442"/>
      <c r="J49" s="445"/>
    </row>
    <row r="50" spans="1:11">
      <c r="A50" s="3155"/>
      <c r="B50" s="3160"/>
      <c r="C50" s="3161"/>
      <c r="D50" s="3161"/>
      <c r="E50" s="3161"/>
      <c r="F50" s="3162"/>
      <c r="G50" s="442" t="s">
        <v>829</v>
      </c>
      <c r="H50" s="442"/>
      <c r="I50" s="442"/>
      <c r="J50" s="445"/>
    </row>
    <row r="51" spans="1:11">
      <c r="A51" s="3155"/>
      <c r="B51" s="3160"/>
      <c r="C51" s="3161"/>
      <c r="D51" s="3161"/>
      <c r="E51" s="3161"/>
      <c r="F51" s="3162"/>
      <c r="G51" s="442" t="s">
        <v>1406</v>
      </c>
      <c r="H51" s="442"/>
      <c r="I51" s="442"/>
      <c r="J51" s="445"/>
    </row>
    <row r="52" spans="1:11">
      <c r="A52" s="3156"/>
      <c r="B52" s="3163"/>
      <c r="C52" s="3164"/>
      <c r="D52" s="3164"/>
      <c r="E52" s="3164"/>
      <c r="F52" s="3165"/>
      <c r="G52" s="442" t="s">
        <v>830</v>
      </c>
      <c r="H52" s="442"/>
      <c r="I52" s="442"/>
      <c r="J52" s="445"/>
    </row>
    <row r="53" spans="1:11">
      <c r="A53" s="141" t="s">
        <v>753</v>
      </c>
      <c r="B53" s="3172" t="s">
        <v>754</v>
      </c>
      <c r="C53" s="3173"/>
      <c r="D53" s="3173"/>
      <c r="E53" s="3173"/>
      <c r="F53" s="3174"/>
      <c r="G53" s="3169" t="s">
        <v>495</v>
      </c>
      <c r="H53" s="3170"/>
      <c r="I53" s="3170"/>
      <c r="J53" s="3171"/>
    </row>
    <row r="54" spans="1:11" ht="22.5" customHeight="1" thickBot="1">
      <c r="A54" s="1420"/>
      <c r="B54" s="3166"/>
      <c r="C54" s="3167"/>
      <c r="D54" s="3167"/>
      <c r="E54" s="3167"/>
      <c r="F54" s="3168"/>
      <c r="G54" s="449" t="s">
        <v>501</v>
      </c>
      <c r="H54" s="447"/>
      <c r="I54" s="447"/>
      <c r="J54" s="448"/>
    </row>
    <row r="56" spans="1:11">
      <c r="B56" s="145" t="str">
        <f>"Дата: "&amp;G19</f>
        <v>Дата: 27.06.2016г.</v>
      </c>
      <c r="H56" s="146" t="s">
        <v>114</v>
      </c>
      <c r="I56" s="147" t="s">
        <v>4</v>
      </c>
      <c r="J56" s="147"/>
    </row>
    <row r="57" spans="1:11">
      <c r="H57" s="149"/>
      <c r="I57" s="150" t="s">
        <v>5</v>
      </c>
    </row>
    <row r="58" spans="1:11">
      <c r="F58" s="148"/>
      <c r="H58" s="151"/>
      <c r="I58" s="151"/>
      <c r="J58" s="151"/>
    </row>
    <row r="59" spans="1:11">
      <c r="F59" s="151"/>
      <c r="H59" s="151"/>
      <c r="I59" s="151"/>
      <c r="J59" s="151"/>
    </row>
    <row r="60" spans="1:11">
      <c r="F60" s="151"/>
      <c r="H60" s="195" t="s">
        <v>756</v>
      </c>
      <c r="I60" s="153" t="s">
        <v>925</v>
      </c>
      <c r="J60" s="151"/>
    </row>
    <row r="61" spans="1:11">
      <c r="F61" s="151"/>
      <c r="H61" s="149"/>
      <c r="I61" s="150" t="s">
        <v>6</v>
      </c>
      <c r="K61" s="152"/>
    </row>
    <row r="62" spans="1:11">
      <c r="F62" s="148"/>
      <c r="G62" s="154"/>
      <c r="H62" s="148"/>
      <c r="I62" s="155"/>
    </row>
    <row r="63" spans="1:11">
      <c r="A63" s="21" t="s">
        <v>757</v>
      </c>
      <c r="F63" s="148"/>
      <c r="G63" s="525"/>
      <c r="H63" s="23"/>
      <c r="I63" s="23"/>
      <c r="J63" s="23"/>
    </row>
    <row r="64" spans="1:11" s="23" customFormat="1">
      <c r="A64" s="198" t="s">
        <v>248</v>
      </c>
      <c r="B64" s="196"/>
      <c r="C64" s="196"/>
      <c r="D64" s="196"/>
      <c r="E64" s="29"/>
      <c r="F64" s="29"/>
      <c r="G64" s="525"/>
      <c r="H64" s="30"/>
      <c r="I64" s="30"/>
      <c r="J64" s="31"/>
    </row>
    <row r="65" spans="2:11" s="31" customFormat="1">
      <c r="B65" s="197"/>
      <c r="C65" s="197"/>
      <c r="D65" s="197"/>
      <c r="E65" s="29"/>
      <c r="F65" s="29"/>
      <c r="G65" s="135"/>
      <c r="H65" s="135"/>
      <c r="I65" s="135"/>
      <c r="J65" s="135"/>
      <c r="K65" s="32"/>
    </row>
  </sheetData>
  <sheetProtection password="C6DB" sheet="1" objects="1" scenarios="1" formatCells="0" formatColumns="0"/>
  <mergeCells count="60">
    <mergeCell ref="B10:F10"/>
    <mergeCell ref="G10:J10"/>
    <mergeCell ref="A2:J2"/>
    <mergeCell ref="A3:J3"/>
    <mergeCell ref="A4:J4"/>
    <mergeCell ref="A6:A7"/>
    <mergeCell ref="B6:J6"/>
    <mergeCell ref="B7:F7"/>
    <mergeCell ref="G7:J7"/>
    <mergeCell ref="B8:F8"/>
    <mergeCell ref="G8:J8"/>
    <mergeCell ref="B9:F9"/>
    <mergeCell ref="G9:J9"/>
    <mergeCell ref="A13:A18"/>
    <mergeCell ref="B13:F18"/>
    <mergeCell ref="G13:J13"/>
    <mergeCell ref="G14:J14"/>
    <mergeCell ref="G15:J15"/>
    <mergeCell ref="G16:J16"/>
    <mergeCell ref="B21:F21"/>
    <mergeCell ref="G21:J21"/>
    <mergeCell ref="B11:F11"/>
    <mergeCell ref="G11:J11"/>
    <mergeCell ref="B12:F12"/>
    <mergeCell ref="G12:J12"/>
    <mergeCell ref="G17:J17"/>
    <mergeCell ref="G18:J18"/>
    <mergeCell ref="B19:F19"/>
    <mergeCell ref="B20:F20"/>
    <mergeCell ref="G20:J20"/>
    <mergeCell ref="G19:J19"/>
    <mergeCell ref="B22:F22"/>
    <mergeCell ref="G22:J22"/>
    <mergeCell ref="B23:F23"/>
    <mergeCell ref="G23:J23"/>
    <mergeCell ref="B44:F44"/>
    <mergeCell ref="B24:F24"/>
    <mergeCell ref="G24:J24"/>
    <mergeCell ref="B25:F25"/>
    <mergeCell ref="B26:F26"/>
    <mergeCell ref="G26:J26"/>
    <mergeCell ref="G47:J47"/>
    <mergeCell ref="B42:F42"/>
    <mergeCell ref="A35:A41"/>
    <mergeCell ref="B35:F41"/>
    <mergeCell ref="B45:F46"/>
    <mergeCell ref="B47:F47"/>
    <mergeCell ref="A45:A46"/>
    <mergeCell ref="G44:J44"/>
    <mergeCell ref="A27:A29"/>
    <mergeCell ref="B27:F33"/>
    <mergeCell ref="B34:F34"/>
    <mergeCell ref="G34:J34"/>
    <mergeCell ref="B43:F43"/>
    <mergeCell ref="G42:J42"/>
    <mergeCell ref="A48:A52"/>
    <mergeCell ref="B48:F52"/>
    <mergeCell ref="B54:F54"/>
    <mergeCell ref="G53:J53"/>
    <mergeCell ref="B53:F53"/>
  </mergeCells>
  <hyperlinks>
    <hyperlink ref="G25:J25" location="'1. Анкетна карта'!A1" display="Справка № 1 - Анкетна карта"/>
    <hyperlink ref="G27" location="'2. Променливи'!A1" display="Справка № 2 - Променливи за изчисление на показателите за качество на предоставяните В и К услуги"/>
    <hyperlink ref="G28" location="'3. Показатели за качество'!A1" display="Справка № 3 - Показатели за качество на предоставяните В и К услуги "/>
    <hyperlink ref="G36:J36" location="'5. Финансиране на ИП'!A1" display="Справка № 5 - Инвестиции и източници на финансиране"/>
    <hyperlink ref="G35" location="'9.Инвестиционна програма'!A1" display="Справка № 9 - Инвестиционна програма"/>
    <hyperlink ref="G37" location="'11. Амортиз. план'!A1" display="Справка № 11 - Амортизационен план на Дълготрайни Активи"/>
    <hyperlink ref="G38" location="'11.1.Амортиз.нови активи'!A1" display="Справка № 10.1 - Амортизация на новоизградени активи, чрез инвестиционната програма"/>
    <hyperlink ref="G54:J54" location="'9. Соц. поносимост'!A1" display="Справка № 20 - Анализ на социалната поносимост на предлаганите цени"/>
    <hyperlink ref="G49:J49" location="'11.РБА'!A1" display="Справка № 11  - Регулаторна база на активите"/>
    <hyperlink ref="G48:J48" location="'10.Необходими приходи'!A1" display="Справка № 10  - Необходими приходи"/>
    <hyperlink ref="G50:J50" location="'13.HB'!A1" display="Справка № 12  - Оборотен капитал"/>
    <hyperlink ref="G51:J51" location="'13.HB'!A1" display="Справка № 13  - Необходима възвръщаемост"/>
    <hyperlink ref="G52:J52" location="'14.Цени за дост.,отв. и преч.'!A1" display="Справка № 14  - Цени за доставяне на вода, отвеждане и пречистване на отпадъчни води"/>
    <hyperlink ref="G54" location="Пояснения!A1" display="Допълнителни пояснения към Показателите за качество на предоставяните В и К услуги"/>
    <hyperlink ref="G36" location="'10. Финансиране на ИП'!A1" display="Справка № 10 - Инвестиции и източници на финансиране"/>
    <hyperlink ref="G43" location="'13. Соц. поносимост'!A1" display="Справка № 12 - Анализ на социалната поносимост на предлаганите цени"/>
    <hyperlink ref="G49" location="'17. РБА'!A1" display="Справка № 16  - Регулаторна база на активите"/>
    <hyperlink ref="G48" location="'16. Необходими приходи'!A1" display="Справка № 15  - Необходими приходи"/>
    <hyperlink ref="G50" location="'18. OK'!A1" display="Справка № 17  - Оборотен капитал"/>
    <hyperlink ref="G51" location="'19. HB'!A1" display="Справка № 18  - Необходима възвръщаемост"/>
    <hyperlink ref="G52" location="'20.Цени за дост.,отв. и преч.'!A1" display="Справка № 19  - Цени за доставяне на вода, отвеждане и пречистване на отпадъчни води"/>
    <hyperlink ref="G30" location="'5. Персонал'!A1" display="Справка № 5 - Персонал"/>
    <hyperlink ref="G31" location="'6. Ел.Енергия'!A1" display="Справка № 6 - Отчет и прогнозно ниво на потребление на ел.енергия за периода на бизнес плана"/>
    <hyperlink ref="G33" location="'8. Ремонтна програма'!A1" display="Справка № 7 - Ремонтна програма"/>
    <hyperlink ref="G45" location="'14. ОПР'!A1" display="Справка № 13  - Прогнозен отчет за приходите и разходите"/>
    <hyperlink ref="G46" location="'15. ОПП'!A1" display="Справка № 14  - Прогнозен отчет за паричния поток"/>
    <hyperlink ref="G32" location="'7. Утайки от ПСОВ'!A1" display="Справка № 7 - Оползотворяване на утойки от ПСОВ"/>
    <hyperlink ref="G29" location="'4. Отчет и прогн. потребление'!A1" display="Справка № 4 -  Отчет и прогнозно ниво на потребление на ВиК услугите  за периода на бизнес плана"/>
    <hyperlink ref="G39" location="'11.2. Нови активи отч.год.'!A1" display="Справка № 11.2 - Новопродобити активи през отчетната година"/>
    <hyperlink ref="G40" location="'12. Разходи'!A1" display="Справка № 12 - Годишни разходи"/>
    <hyperlink ref="G41" location="'12.1.Разходи-увелич.и нам.'!A1" display="Справка № 12.1 - Изменения на годишните разходи спрямо отчетната година"/>
  </hyperlinks>
  <printOptions horizontalCentered="1"/>
  <pageMargins left="0.78740157480314965" right="0.59055118110236227" top="0.59055118110236227" bottom="0.59055118110236227" header="0.78740157480314965" footer="0.78740157480314965"/>
  <pageSetup paperSize="9" scale="56" orientation="portrait" r:id="rId1"/>
  <ignoredErrors>
    <ignoredError sqref="A9:A10 A33:A35 A11:A22 A30:A31 A23:A29"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K62"/>
  <sheetViews>
    <sheetView view="pageBreakPreview" zoomScaleNormal="90" zoomScaleSheetLayoutView="100" workbookViewId="0">
      <selection activeCell="K17" sqref="K17"/>
    </sheetView>
  </sheetViews>
  <sheetFormatPr defaultRowHeight="12.75"/>
  <cols>
    <col min="1" max="1" width="5.42578125" style="199" customWidth="1"/>
    <col min="2" max="2" width="7.7109375" style="199" customWidth="1"/>
    <col min="3" max="4" width="6.140625" style="199" customWidth="1"/>
    <col min="5" max="5" width="6.42578125" style="199" customWidth="1"/>
    <col min="6" max="6" width="6.85546875" style="199" customWidth="1"/>
    <col min="7" max="7" width="12.5703125" style="199" customWidth="1"/>
    <col min="8" max="8" width="12" style="199" customWidth="1"/>
    <col min="9" max="9" width="12.140625" style="199" customWidth="1"/>
    <col min="10" max="10" width="14.28515625" style="199" customWidth="1"/>
    <col min="11" max="256" width="9.140625" style="199"/>
    <col min="257" max="257" width="5.42578125" style="199" customWidth="1"/>
    <col min="258" max="258" width="7.7109375" style="199" customWidth="1"/>
    <col min="259" max="260" width="6.140625" style="199" customWidth="1"/>
    <col min="261" max="261" width="6.42578125" style="199" customWidth="1"/>
    <col min="262" max="262" width="6.85546875" style="199" customWidth="1"/>
    <col min="263" max="263" width="12.5703125" style="199" customWidth="1"/>
    <col min="264" max="264" width="12" style="199" customWidth="1"/>
    <col min="265" max="265" width="12.140625" style="199" customWidth="1"/>
    <col min="266" max="266" width="14.28515625" style="199" customWidth="1"/>
    <col min="267" max="512" width="9.140625" style="199"/>
    <col min="513" max="513" width="5.42578125" style="199" customWidth="1"/>
    <col min="514" max="514" width="7.7109375" style="199" customWidth="1"/>
    <col min="515" max="516" width="6.140625" style="199" customWidth="1"/>
    <col min="517" max="517" width="6.42578125" style="199" customWidth="1"/>
    <col min="518" max="518" width="6.85546875" style="199" customWidth="1"/>
    <col min="519" max="519" width="12.5703125" style="199" customWidth="1"/>
    <col min="520" max="520" width="12" style="199" customWidth="1"/>
    <col min="521" max="521" width="12.140625" style="199" customWidth="1"/>
    <col min="522" max="522" width="14.28515625" style="199" customWidth="1"/>
    <col min="523" max="768" width="9.140625" style="199"/>
    <col min="769" max="769" width="5.42578125" style="199" customWidth="1"/>
    <col min="770" max="770" width="7.7109375" style="199" customWidth="1"/>
    <col min="771" max="772" width="6.140625" style="199" customWidth="1"/>
    <col min="773" max="773" width="6.42578125" style="199" customWidth="1"/>
    <col min="774" max="774" width="6.85546875" style="199" customWidth="1"/>
    <col min="775" max="775" width="12.5703125" style="199" customWidth="1"/>
    <col min="776" max="776" width="12" style="199" customWidth="1"/>
    <col min="777" max="777" width="12.140625" style="199" customWidth="1"/>
    <col min="778" max="778" width="14.28515625" style="199" customWidth="1"/>
    <col min="779" max="1024" width="9.140625" style="199"/>
    <col min="1025" max="1025" width="5.42578125" style="199" customWidth="1"/>
    <col min="1026" max="1026" width="7.7109375" style="199" customWidth="1"/>
    <col min="1027" max="1028" width="6.140625" style="199" customWidth="1"/>
    <col min="1029" max="1029" width="6.42578125" style="199" customWidth="1"/>
    <col min="1030" max="1030" width="6.85546875" style="199" customWidth="1"/>
    <col min="1031" max="1031" width="12.5703125" style="199" customWidth="1"/>
    <col min="1032" max="1032" width="12" style="199" customWidth="1"/>
    <col min="1033" max="1033" width="12.140625" style="199" customWidth="1"/>
    <col min="1034" max="1034" width="14.28515625" style="199" customWidth="1"/>
    <col min="1035" max="1280" width="9.140625" style="199"/>
    <col min="1281" max="1281" width="5.42578125" style="199" customWidth="1"/>
    <col min="1282" max="1282" width="7.7109375" style="199" customWidth="1"/>
    <col min="1283" max="1284" width="6.140625" style="199" customWidth="1"/>
    <col min="1285" max="1285" width="6.42578125" style="199" customWidth="1"/>
    <col min="1286" max="1286" width="6.85546875" style="199" customWidth="1"/>
    <col min="1287" max="1287" width="12.5703125" style="199" customWidth="1"/>
    <col min="1288" max="1288" width="12" style="199" customWidth="1"/>
    <col min="1289" max="1289" width="12.140625" style="199" customWidth="1"/>
    <col min="1290" max="1290" width="14.28515625" style="199" customWidth="1"/>
    <col min="1291" max="1536" width="9.140625" style="199"/>
    <col min="1537" max="1537" width="5.42578125" style="199" customWidth="1"/>
    <col min="1538" max="1538" width="7.7109375" style="199" customWidth="1"/>
    <col min="1539" max="1540" width="6.140625" style="199" customWidth="1"/>
    <col min="1541" max="1541" width="6.42578125" style="199" customWidth="1"/>
    <col min="1542" max="1542" width="6.85546875" style="199" customWidth="1"/>
    <col min="1543" max="1543" width="12.5703125" style="199" customWidth="1"/>
    <col min="1544" max="1544" width="12" style="199" customWidth="1"/>
    <col min="1545" max="1545" width="12.140625" style="199" customWidth="1"/>
    <col min="1546" max="1546" width="14.28515625" style="199" customWidth="1"/>
    <col min="1547" max="1792" width="9.140625" style="199"/>
    <col min="1793" max="1793" width="5.42578125" style="199" customWidth="1"/>
    <col min="1794" max="1794" width="7.7109375" style="199" customWidth="1"/>
    <col min="1795" max="1796" width="6.140625" style="199" customWidth="1"/>
    <col min="1797" max="1797" width="6.42578125" style="199" customWidth="1"/>
    <col min="1798" max="1798" width="6.85546875" style="199" customWidth="1"/>
    <col min="1799" max="1799" width="12.5703125" style="199" customWidth="1"/>
    <col min="1800" max="1800" width="12" style="199" customWidth="1"/>
    <col min="1801" max="1801" width="12.140625" style="199" customWidth="1"/>
    <col min="1802" max="1802" width="14.28515625" style="199" customWidth="1"/>
    <col min="1803" max="2048" width="9.140625" style="199"/>
    <col min="2049" max="2049" width="5.42578125" style="199" customWidth="1"/>
    <col min="2050" max="2050" width="7.7109375" style="199" customWidth="1"/>
    <col min="2051" max="2052" width="6.140625" style="199" customWidth="1"/>
    <col min="2053" max="2053" width="6.42578125" style="199" customWidth="1"/>
    <col min="2054" max="2054" width="6.85546875" style="199" customWidth="1"/>
    <col min="2055" max="2055" width="12.5703125" style="199" customWidth="1"/>
    <col min="2056" max="2056" width="12" style="199" customWidth="1"/>
    <col min="2057" max="2057" width="12.140625" style="199" customWidth="1"/>
    <col min="2058" max="2058" width="14.28515625" style="199" customWidth="1"/>
    <col min="2059" max="2304" width="9.140625" style="199"/>
    <col min="2305" max="2305" width="5.42578125" style="199" customWidth="1"/>
    <col min="2306" max="2306" width="7.7109375" style="199" customWidth="1"/>
    <col min="2307" max="2308" width="6.140625" style="199" customWidth="1"/>
    <col min="2309" max="2309" width="6.42578125" style="199" customWidth="1"/>
    <col min="2310" max="2310" width="6.85546875" style="199" customWidth="1"/>
    <col min="2311" max="2311" width="12.5703125" style="199" customWidth="1"/>
    <col min="2312" max="2312" width="12" style="199" customWidth="1"/>
    <col min="2313" max="2313" width="12.140625" style="199" customWidth="1"/>
    <col min="2314" max="2314" width="14.28515625" style="199" customWidth="1"/>
    <col min="2315" max="2560" width="9.140625" style="199"/>
    <col min="2561" max="2561" width="5.42578125" style="199" customWidth="1"/>
    <col min="2562" max="2562" width="7.7109375" style="199" customWidth="1"/>
    <col min="2563" max="2564" width="6.140625" style="199" customWidth="1"/>
    <col min="2565" max="2565" width="6.42578125" style="199" customWidth="1"/>
    <col min="2566" max="2566" width="6.85546875" style="199" customWidth="1"/>
    <col min="2567" max="2567" width="12.5703125" style="199" customWidth="1"/>
    <col min="2568" max="2568" width="12" style="199" customWidth="1"/>
    <col min="2569" max="2569" width="12.140625" style="199" customWidth="1"/>
    <col min="2570" max="2570" width="14.28515625" style="199" customWidth="1"/>
    <col min="2571" max="2816" width="9.140625" style="199"/>
    <col min="2817" max="2817" width="5.42578125" style="199" customWidth="1"/>
    <col min="2818" max="2818" width="7.7109375" style="199" customWidth="1"/>
    <col min="2819" max="2820" width="6.140625" style="199" customWidth="1"/>
    <col min="2821" max="2821" width="6.42578125" style="199" customWidth="1"/>
    <col min="2822" max="2822" width="6.85546875" style="199" customWidth="1"/>
    <col min="2823" max="2823" width="12.5703125" style="199" customWidth="1"/>
    <col min="2824" max="2824" width="12" style="199" customWidth="1"/>
    <col min="2825" max="2825" width="12.140625" style="199" customWidth="1"/>
    <col min="2826" max="2826" width="14.28515625" style="199" customWidth="1"/>
    <col min="2827" max="3072" width="9.140625" style="199"/>
    <col min="3073" max="3073" width="5.42578125" style="199" customWidth="1"/>
    <col min="3074" max="3074" width="7.7109375" style="199" customWidth="1"/>
    <col min="3075" max="3076" width="6.140625" style="199" customWidth="1"/>
    <col min="3077" max="3077" width="6.42578125" style="199" customWidth="1"/>
    <col min="3078" max="3078" width="6.85546875" style="199" customWidth="1"/>
    <col min="3079" max="3079" width="12.5703125" style="199" customWidth="1"/>
    <col min="3080" max="3080" width="12" style="199" customWidth="1"/>
    <col min="3081" max="3081" width="12.140625" style="199" customWidth="1"/>
    <col min="3082" max="3082" width="14.28515625" style="199" customWidth="1"/>
    <col min="3083" max="3328" width="9.140625" style="199"/>
    <col min="3329" max="3329" width="5.42578125" style="199" customWidth="1"/>
    <col min="3330" max="3330" width="7.7109375" style="199" customWidth="1"/>
    <col min="3331" max="3332" width="6.140625" style="199" customWidth="1"/>
    <col min="3333" max="3333" width="6.42578125" style="199" customWidth="1"/>
    <col min="3334" max="3334" width="6.85546875" style="199" customWidth="1"/>
    <col min="3335" max="3335" width="12.5703125" style="199" customWidth="1"/>
    <col min="3336" max="3336" width="12" style="199" customWidth="1"/>
    <col min="3337" max="3337" width="12.140625" style="199" customWidth="1"/>
    <col min="3338" max="3338" width="14.28515625" style="199" customWidth="1"/>
    <col min="3339" max="3584" width="9.140625" style="199"/>
    <col min="3585" max="3585" width="5.42578125" style="199" customWidth="1"/>
    <col min="3586" max="3586" width="7.7109375" style="199" customWidth="1"/>
    <col min="3587" max="3588" width="6.140625" style="199" customWidth="1"/>
    <col min="3589" max="3589" width="6.42578125" style="199" customWidth="1"/>
    <col min="3590" max="3590" width="6.85546875" style="199" customWidth="1"/>
    <col min="3591" max="3591" width="12.5703125" style="199" customWidth="1"/>
    <col min="3592" max="3592" width="12" style="199" customWidth="1"/>
    <col min="3593" max="3593" width="12.140625" style="199" customWidth="1"/>
    <col min="3594" max="3594" width="14.28515625" style="199" customWidth="1"/>
    <col min="3595" max="3840" width="9.140625" style="199"/>
    <col min="3841" max="3841" width="5.42578125" style="199" customWidth="1"/>
    <col min="3842" max="3842" width="7.7109375" style="199" customWidth="1"/>
    <col min="3843" max="3844" width="6.140625" style="199" customWidth="1"/>
    <col min="3845" max="3845" width="6.42578125" style="199" customWidth="1"/>
    <col min="3846" max="3846" width="6.85546875" style="199" customWidth="1"/>
    <col min="3847" max="3847" width="12.5703125" style="199" customWidth="1"/>
    <col min="3848" max="3848" width="12" style="199" customWidth="1"/>
    <col min="3849" max="3849" width="12.140625" style="199" customWidth="1"/>
    <col min="3850" max="3850" width="14.28515625" style="199" customWidth="1"/>
    <col min="3851" max="4096" width="9.140625" style="199"/>
    <col min="4097" max="4097" width="5.42578125" style="199" customWidth="1"/>
    <col min="4098" max="4098" width="7.7109375" style="199" customWidth="1"/>
    <col min="4099" max="4100" width="6.140625" style="199" customWidth="1"/>
    <col min="4101" max="4101" width="6.42578125" style="199" customWidth="1"/>
    <col min="4102" max="4102" width="6.85546875" style="199" customWidth="1"/>
    <col min="4103" max="4103" width="12.5703125" style="199" customWidth="1"/>
    <col min="4104" max="4104" width="12" style="199" customWidth="1"/>
    <col min="4105" max="4105" width="12.140625" style="199" customWidth="1"/>
    <col min="4106" max="4106" width="14.28515625" style="199" customWidth="1"/>
    <col min="4107" max="4352" width="9.140625" style="199"/>
    <col min="4353" max="4353" width="5.42578125" style="199" customWidth="1"/>
    <col min="4354" max="4354" width="7.7109375" style="199" customWidth="1"/>
    <col min="4355" max="4356" width="6.140625" style="199" customWidth="1"/>
    <col min="4357" max="4357" width="6.42578125" style="199" customWidth="1"/>
    <col min="4358" max="4358" width="6.85546875" style="199" customWidth="1"/>
    <col min="4359" max="4359" width="12.5703125" style="199" customWidth="1"/>
    <col min="4360" max="4360" width="12" style="199" customWidth="1"/>
    <col min="4361" max="4361" width="12.140625" style="199" customWidth="1"/>
    <col min="4362" max="4362" width="14.28515625" style="199" customWidth="1"/>
    <col min="4363" max="4608" width="9.140625" style="199"/>
    <col min="4609" max="4609" width="5.42578125" style="199" customWidth="1"/>
    <col min="4610" max="4610" width="7.7109375" style="199" customWidth="1"/>
    <col min="4611" max="4612" width="6.140625" style="199" customWidth="1"/>
    <col min="4613" max="4613" width="6.42578125" style="199" customWidth="1"/>
    <col min="4614" max="4614" width="6.85546875" style="199" customWidth="1"/>
    <col min="4615" max="4615" width="12.5703125" style="199" customWidth="1"/>
    <col min="4616" max="4616" width="12" style="199" customWidth="1"/>
    <col min="4617" max="4617" width="12.140625" style="199" customWidth="1"/>
    <col min="4618" max="4618" width="14.28515625" style="199" customWidth="1"/>
    <col min="4619" max="4864" width="9.140625" style="199"/>
    <col min="4865" max="4865" width="5.42578125" style="199" customWidth="1"/>
    <col min="4866" max="4866" width="7.7109375" style="199" customWidth="1"/>
    <col min="4867" max="4868" width="6.140625" style="199" customWidth="1"/>
    <col min="4869" max="4869" width="6.42578125" style="199" customWidth="1"/>
    <col min="4870" max="4870" width="6.85546875" style="199" customWidth="1"/>
    <col min="4871" max="4871" width="12.5703125" style="199" customWidth="1"/>
    <col min="4872" max="4872" width="12" style="199" customWidth="1"/>
    <col min="4873" max="4873" width="12.140625" style="199" customWidth="1"/>
    <col min="4874" max="4874" width="14.28515625" style="199" customWidth="1"/>
    <col min="4875" max="5120" width="9.140625" style="199"/>
    <col min="5121" max="5121" width="5.42578125" style="199" customWidth="1"/>
    <col min="5122" max="5122" width="7.7109375" style="199" customWidth="1"/>
    <col min="5123" max="5124" width="6.140625" style="199" customWidth="1"/>
    <col min="5125" max="5125" width="6.42578125" style="199" customWidth="1"/>
    <col min="5126" max="5126" width="6.85546875" style="199" customWidth="1"/>
    <col min="5127" max="5127" width="12.5703125" style="199" customWidth="1"/>
    <col min="5128" max="5128" width="12" style="199" customWidth="1"/>
    <col min="5129" max="5129" width="12.140625" style="199" customWidth="1"/>
    <col min="5130" max="5130" width="14.28515625" style="199" customWidth="1"/>
    <col min="5131" max="5376" width="9.140625" style="199"/>
    <col min="5377" max="5377" width="5.42578125" style="199" customWidth="1"/>
    <col min="5378" max="5378" width="7.7109375" style="199" customWidth="1"/>
    <col min="5379" max="5380" width="6.140625" style="199" customWidth="1"/>
    <col min="5381" max="5381" width="6.42578125" style="199" customWidth="1"/>
    <col min="5382" max="5382" width="6.85546875" style="199" customWidth="1"/>
    <col min="5383" max="5383" width="12.5703125" style="199" customWidth="1"/>
    <col min="5384" max="5384" width="12" style="199" customWidth="1"/>
    <col min="5385" max="5385" width="12.140625" style="199" customWidth="1"/>
    <col min="5386" max="5386" width="14.28515625" style="199" customWidth="1"/>
    <col min="5387" max="5632" width="9.140625" style="199"/>
    <col min="5633" max="5633" width="5.42578125" style="199" customWidth="1"/>
    <col min="5634" max="5634" width="7.7109375" style="199" customWidth="1"/>
    <col min="5635" max="5636" width="6.140625" style="199" customWidth="1"/>
    <col min="5637" max="5637" width="6.42578125" style="199" customWidth="1"/>
    <col min="5638" max="5638" width="6.85546875" style="199" customWidth="1"/>
    <col min="5639" max="5639" width="12.5703125" style="199" customWidth="1"/>
    <col min="5640" max="5640" width="12" style="199" customWidth="1"/>
    <col min="5641" max="5641" width="12.140625" style="199" customWidth="1"/>
    <col min="5642" max="5642" width="14.28515625" style="199" customWidth="1"/>
    <col min="5643" max="5888" width="9.140625" style="199"/>
    <col min="5889" max="5889" width="5.42578125" style="199" customWidth="1"/>
    <col min="5890" max="5890" width="7.7109375" style="199" customWidth="1"/>
    <col min="5891" max="5892" width="6.140625" style="199" customWidth="1"/>
    <col min="5893" max="5893" width="6.42578125" style="199" customWidth="1"/>
    <col min="5894" max="5894" width="6.85546875" style="199" customWidth="1"/>
    <col min="5895" max="5895" width="12.5703125" style="199" customWidth="1"/>
    <col min="5896" max="5896" width="12" style="199" customWidth="1"/>
    <col min="5897" max="5897" width="12.140625" style="199" customWidth="1"/>
    <col min="5898" max="5898" width="14.28515625" style="199" customWidth="1"/>
    <col min="5899" max="6144" width="9.140625" style="199"/>
    <col min="6145" max="6145" width="5.42578125" style="199" customWidth="1"/>
    <col min="6146" max="6146" width="7.7109375" style="199" customWidth="1"/>
    <col min="6147" max="6148" width="6.140625" style="199" customWidth="1"/>
    <col min="6149" max="6149" width="6.42578125" style="199" customWidth="1"/>
    <col min="6150" max="6150" width="6.85546875" style="199" customWidth="1"/>
    <col min="6151" max="6151" width="12.5703125" style="199" customWidth="1"/>
    <col min="6152" max="6152" width="12" style="199" customWidth="1"/>
    <col min="6153" max="6153" width="12.140625" style="199" customWidth="1"/>
    <col min="6154" max="6154" width="14.28515625" style="199" customWidth="1"/>
    <col min="6155" max="6400" width="9.140625" style="199"/>
    <col min="6401" max="6401" width="5.42578125" style="199" customWidth="1"/>
    <col min="6402" max="6402" width="7.7109375" style="199" customWidth="1"/>
    <col min="6403" max="6404" width="6.140625" style="199" customWidth="1"/>
    <col min="6405" max="6405" width="6.42578125" style="199" customWidth="1"/>
    <col min="6406" max="6406" width="6.85546875" style="199" customWidth="1"/>
    <col min="6407" max="6407" width="12.5703125" style="199" customWidth="1"/>
    <col min="6408" max="6408" width="12" style="199" customWidth="1"/>
    <col min="6409" max="6409" width="12.140625" style="199" customWidth="1"/>
    <col min="6410" max="6410" width="14.28515625" style="199" customWidth="1"/>
    <col min="6411" max="6656" width="9.140625" style="199"/>
    <col min="6657" max="6657" width="5.42578125" style="199" customWidth="1"/>
    <col min="6658" max="6658" width="7.7109375" style="199" customWidth="1"/>
    <col min="6659" max="6660" width="6.140625" style="199" customWidth="1"/>
    <col min="6661" max="6661" width="6.42578125" style="199" customWidth="1"/>
    <col min="6662" max="6662" width="6.85546875" style="199" customWidth="1"/>
    <col min="6663" max="6663" width="12.5703125" style="199" customWidth="1"/>
    <col min="6664" max="6664" width="12" style="199" customWidth="1"/>
    <col min="6665" max="6665" width="12.140625" style="199" customWidth="1"/>
    <col min="6666" max="6666" width="14.28515625" style="199" customWidth="1"/>
    <col min="6667" max="6912" width="9.140625" style="199"/>
    <col min="6913" max="6913" width="5.42578125" style="199" customWidth="1"/>
    <col min="6914" max="6914" width="7.7109375" style="199" customWidth="1"/>
    <col min="6915" max="6916" width="6.140625" style="199" customWidth="1"/>
    <col min="6917" max="6917" width="6.42578125" style="199" customWidth="1"/>
    <col min="6918" max="6918" width="6.85546875" style="199" customWidth="1"/>
    <col min="6919" max="6919" width="12.5703125" style="199" customWidth="1"/>
    <col min="6920" max="6920" width="12" style="199" customWidth="1"/>
    <col min="6921" max="6921" width="12.140625" style="199" customWidth="1"/>
    <col min="6922" max="6922" width="14.28515625" style="199" customWidth="1"/>
    <col min="6923" max="7168" width="9.140625" style="199"/>
    <col min="7169" max="7169" width="5.42578125" style="199" customWidth="1"/>
    <col min="7170" max="7170" width="7.7109375" style="199" customWidth="1"/>
    <col min="7171" max="7172" width="6.140625" style="199" customWidth="1"/>
    <col min="7173" max="7173" width="6.42578125" style="199" customWidth="1"/>
    <col min="7174" max="7174" width="6.85546875" style="199" customWidth="1"/>
    <col min="7175" max="7175" width="12.5703125" style="199" customWidth="1"/>
    <col min="7176" max="7176" width="12" style="199" customWidth="1"/>
    <col min="7177" max="7177" width="12.140625" style="199" customWidth="1"/>
    <col min="7178" max="7178" width="14.28515625" style="199" customWidth="1"/>
    <col min="7179" max="7424" width="9.140625" style="199"/>
    <col min="7425" max="7425" width="5.42578125" style="199" customWidth="1"/>
    <col min="7426" max="7426" width="7.7109375" style="199" customWidth="1"/>
    <col min="7427" max="7428" width="6.140625" style="199" customWidth="1"/>
    <col min="7429" max="7429" width="6.42578125" style="199" customWidth="1"/>
    <col min="7430" max="7430" width="6.85546875" style="199" customWidth="1"/>
    <col min="7431" max="7431" width="12.5703125" style="199" customWidth="1"/>
    <col min="7432" max="7432" width="12" style="199" customWidth="1"/>
    <col min="7433" max="7433" width="12.140625" style="199" customWidth="1"/>
    <col min="7434" max="7434" width="14.28515625" style="199" customWidth="1"/>
    <col min="7435" max="7680" width="9.140625" style="199"/>
    <col min="7681" max="7681" width="5.42578125" style="199" customWidth="1"/>
    <col min="7682" max="7682" width="7.7109375" style="199" customWidth="1"/>
    <col min="7683" max="7684" width="6.140625" style="199" customWidth="1"/>
    <col min="7685" max="7685" width="6.42578125" style="199" customWidth="1"/>
    <col min="7686" max="7686" width="6.85546875" style="199" customWidth="1"/>
    <col min="7687" max="7687" width="12.5703125" style="199" customWidth="1"/>
    <col min="7688" max="7688" width="12" style="199" customWidth="1"/>
    <col min="7689" max="7689" width="12.140625" style="199" customWidth="1"/>
    <col min="7690" max="7690" width="14.28515625" style="199" customWidth="1"/>
    <col min="7691" max="7936" width="9.140625" style="199"/>
    <col min="7937" max="7937" width="5.42578125" style="199" customWidth="1"/>
    <col min="7938" max="7938" width="7.7109375" style="199" customWidth="1"/>
    <col min="7939" max="7940" width="6.140625" style="199" customWidth="1"/>
    <col min="7941" max="7941" width="6.42578125" style="199" customWidth="1"/>
    <col min="7942" max="7942" width="6.85546875" style="199" customWidth="1"/>
    <col min="7943" max="7943" width="12.5703125" style="199" customWidth="1"/>
    <col min="7944" max="7944" width="12" style="199" customWidth="1"/>
    <col min="7945" max="7945" width="12.140625" style="199" customWidth="1"/>
    <col min="7946" max="7946" width="14.28515625" style="199" customWidth="1"/>
    <col min="7947" max="8192" width="9.140625" style="199"/>
    <col min="8193" max="8193" width="5.42578125" style="199" customWidth="1"/>
    <col min="8194" max="8194" width="7.7109375" style="199" customWidth="1"/>
    <col min="8195" max="8196" width="6.140625" style="199" customWidth="1"/>
    <col min="8197" max="8197" width="6.42578125" style="199" customWidth="1"/>
    <col min="8198" max="8198" width="6.85546875" style="199" customWidth="1"/>
    <col min="8199" max="8199" width="12.5703125" style="199" customWidth="1"/>
    <col min="8200" max="8200" width="12" style="199" customWidth="1"/>
    <col min="8201" max="8201" width="12.140625" style="199" customWidth="1"/>
    <col min="8202" max="8202" width="14.28515625" style="199" customWidth="1"/>
    <col min="8203" max="8448" width="9.140625" style="199"/>
    <col min="8449" max="8449" width="5.42578125" style="199" customWidth="1"/>
    <col min="8450" max="8450" width="7.7109375" style="199" customWidth="1"/>
    <col min="8451" max="8452" width="6.140625" style="199" customWidth="1"/>
    <col min="8453" max="8453" width="6.42578125" style="199" customWidth="1"/>
    <col min="8454" max="8454" width="6.85546875" style="199" customWidth="1"/>
    <col min="8455" max="8455" width="12.5703125" style="199" customWidth="1"/>
    <col min="8456" max="8456" width="12" style="199" customWidth="1"/>
    <col min="8457" max="8457" width="12.140625" style="199" customWidth="1"/>
    <col min="8458" max="8458" width="14.28515625" style="199" customWidth="1"/>
    <col min="8459" max="8704" width="9.140625" style="199"/>
    <col min="8705" max="8705" width="5.42578125" style="199" customWidth="1"/>
    <col min="8706" max="8706" width="7.7109375" style="199" customWidth="1"/>
    <col min="8707" max="8708" width="6.140625" style="199" customWidth="1"/>
    <col min="8709" max="8709" width="6.42578125" style="199" customWidth="1"/>
    <col min="8710" max="8710" width="6.85546875" style="199" customWidth="1"/>
    <col min="8711" max="8711" width="12.5703125" style="199" customWidth="1"/>
    <col min="8712" max="8712" width="12" style="199" customWidth="1"/>
    <col min="8713" max="8713" width="12.140625" style="199" customWidth="1"/>
    <col min="8714" max="8714" width="14.28515625" style="199" customWidth="1"/>
    <col min="8715" max="8960" width="9.140625" style="199"/>
    <col min="8961" max="8961" width="5.42578125" style="199" customWidth="1"/>
    <col min="8962" max="8962" width="7.7109375" style="199" customWidth="1"/>
    <col min="8963" max="8964" width="6.140625" style="199" customWidth="1"/>
    <col min="8965" max="8965" width="6.42578125" style="199" customWidth="1"/>
    <col min="8966" max="8966" width="6.85546875" style="199" customWidth="1"/>
    <col min="8967" max="8967" width="12.5703125" style="199" customWidth="1"/>
    <col min="8968" max="8968" width="12" style="199" customWidth="1"/>
    <col min="8969" max="8969" width="12.140625" style="199" customWidth="1"/>
    <col min="8970" max="8970" width="14.28515625" style="199" customWidth="1"/>
    <col min="8971" max="9216" width="9.140625" style="199"/>
    <col min="9217" max="9217" width="5.42578125" style="199" customWidth="1"/>
    <col min="9218" max="9218" width="7.7109375" style="199" customWidth="1"/>
    <col min="9219" max="9220" width="6.140625" style="199" customWidth="1"/>
    <col min="9221" max="9221" width="6.42578125" style="199" customWidth="1"/>
    <col min="9222" max="9222" width="6.85546875" style="199" customWidth="1"/>
    <col min="9223" max="9223" width="12.5703125" style="199" customWidth="1"/>
    <col min="9224" max="9224" width="12" style="199" customWidth="1"/>
    <col min="9225" max="9225" width="12.140625" style="199" customWidth="1"/>
    <col min="9226" max="9226" width="14.28515625" style="199" customWidth="1"/>
    <col min="9227" max="9472" width="9.140625" style="199"/>
    <col min="9473" max="9473" width="5.42578125" style="199" customWidth="1"/>
    <col min="9474" max="9474" width="7.7109375" style="199" customWidth="1"/>
    <col min="9475" max="9476" width="6.140625" style="199" customWidth="1"/>
    <col min="9477" max="9477" width="6.42578125" style="199" customWidth="1"/>
    <col min="9478" max="9478" width="6.85546875" style="199" customWidth="1"/>
    <col min="9479" max="9479" width="12.5703125" style="199" customWidth="1"/>
    <col min="9480" max="9480" width="12" style="199" customWidth="1"/>
    <col min="9481" max="9481" width="12.140625" style="199" customWidth="1"/>
    <col min="9482" max="9482" width="14.28515625" style="199" customWidth="1"/>
    <col min="9483" max="9728" width="9.140625" style="199"/>
    <col min="9729" max="9729" width="5.42578125" style="199" customWidth="1"/>
    <col min="9730" max="9730" width="7.7109375" style="199" customWidth="1"/>
    <col min="9731" max="9732" width="6.140625" style="199" customWidth="1"/>
    <col min="9733" max="9733" width="6.42578125" style="199" customWidth="1"/>
    <col min="9734" max="9734" width="6.85546875" style="199" customWidth="1"/>
    <col min="9735" max="9735" width="12.5703125" style="199" customWidth="1"/>
    <col min="9736" max="9736" width="12" style="199" customWidth="1"/>
    <col min="9737" max="9737" width="12.140625" style="199" customWidth="1"/>
    <col min="9738" max="9738" width="14.28515625" style="199" customWidth="1"/>
    <col min="9739" max="9984" width="9.140625" style="199"/>
    <col min="9985" max="9985" width="5.42578125" style="199" customWidth="1"/>
    <col min="9986" max="9986" width="7.7109375" style="199" customWidth="1"/>
    <col min="9987" max="9988" width="6.140625" style="199" customWidth="1"/>
    <col min="9989" max="9989" width="6.42578125" style="199" customWidth="1"/>
    <col min="9990" max="9990" width="6.85546875" style="199" customWidth="1"/>
    <col min="9991" max="9991" width="12.5703125" style="199" customWidth="1"/>
    <col min="9992" max="9992" width="12" style="199" customWidth="1"/>
    <col min="9993" max="9993" width="12.140625" style="199" customWidth="1"/>
    <col min="9994" max="9994" width="14.28515625" style="199" customWidth="1"/>
    <col min="9995" max="10240" width="9.140625" style="199"/>
    <col min="10241" max="10241" width="5.42578125" style="199" customWidth="1"/>
    <col min="10242" max="10242" width="7.7109375" style="199" customWidth="1"/>
    <col min="10243" max="10244" width="6.140625" style="199" customWidth="1"/>
    <col min="10245" max="10245" width="6.42578125" style="199" customWidth="1"/>
    <col min="10246" max="10246" width="6.85546875" style="199" customWidth="1"/>
    <col min="10247" max="10247" width="12.5703125" style="199" customWidth="1"/>
    <col min="10248" max="10248" width="12" style="199" customWidth="1"/>
    <col min="10249" max="10249" width="12.140625" style="199" customWidth="1"/>
    <col min="10250" max="10250" width="14.28515625" style="199" customWidth="1"/>
    <col min="10251" max="10496" width="9.140625" style="199"/>
    <col min="10497" max="10497" width="5.42578125" style="199" customWidth="1"/>
    <col min="10498" max="10498" width="7.7109375" style="199" customWidth="1"/>
    <col min="10499" max="10500" width="6.140625" style="199" customWidth="1"/>
    <col min="10501" max="10501" width="6.42578125" style="199" customWidth="1"/>
    <col min="10502" max="10502" width="6.85546875" style="199" customWidth="1"/>
    <col min="10503" max="10503" width="12.5703125" style="199" customWidth="1"/>
    <col min="10504" max="10504" width="12" style="199" customWidth="1"/>
    <col min="10505" max="10505" width="12.140625" style="199" customWidth="1"/>
    <col min="10506" max="10506" width="14.28515625" style="199" customWidth="1"/>
    <col min="10507" max="10752" width="9.140625" style="199"/>
    <col min="10753" max="10753" width="5.42578125" style="199" customWidth="1"/>
    <col min="10754" max="10754" width="7.7109375" style="199" customWidth="1"/>
    <col min="10755" max="10756" width="6.140625" style="199" customWidth="1"/>
    <col min="10757" max="10757" width="6.42578125" style="199" customWidth="1"/>
    <col min="10758" max="10758" width="6.85546875" style="199" customWidth="1"/>
    <col min="10759" max="10759" width="12.5703125" style="199" customWidth="1"/>
    <col min="10760" max="10760" width="12" style="199" customWidth="1"/>
    <col min="10761" max="10761" width="12.140625" style="199" customWidth="1"/>
    <col min="10762" max="10762" width="14.28515625" style="199" customWidth="1"/>
    <col min="10763" max="11008" width="9.140625" style="199"/>
    <col min="11009" max="11009" width="5.42578125" style="199" customWidth="1"/>
    <col min="11010" max="11010" width="7.7109375" style="199" customWidth="1"/>
    <col min="11011" max="11012" width="6.140625" style="199" customWidth="1"/>
    <col min="11013" max="11013" width="6.42578125" style="199" customWidth="1"/>
    <col min="11014" max="11014" width="6.85546875" style="199" customWidth="1"/>
    <col min="11015" max="11015" width="12.5703125" style="199" customWidth="1"/>
    <col min="11016" max="11016" width="12" style="199" customWidth="1"/>
    <col min="11017" max="11017" width="12.140625" style="199" customWidth="1"/>
    <col min="11018" max="11018" width="14.28515625" style="199" customWidth="1"/>
    <col min="11019" max="11264" width="9.140625" style="199"/>
    <col min="11265" max="11265" width="5.42578125" style="199" customWidth="1"/>
    <col min="11266" max="11266" width="7.7109375" style="199" customWidth="1"/>
    <col min="11267" max="11268" width="6.140625" style="199" customWidth="1"/>
    <col min="11269" max="11269" width="6.42578125" style="199" customWidth="1"/>
    <col min="11270" max="11270" width="6.85546875" style="199" customWidth="1"/>
    <col min="11271" max="11271" width="12.5703125" style="199" customWidth="1"/>
    <col min="11272" max="11272" width="12" style="199" customWidth="1"/>
    <col min="11273" max="11273" width="12.140625" style="199" customWidth="1"/>
    <col min="11274" max="11274" width="14.28515625" style="199" customWidth="1"/>
    <col min="11275" max="11520" width="9.140625" style="199"/>
    <col min="11521" max="11521" width="5.42578125" style="199" customWidth="1"/>
    <col min="11522" max="11522" width="7.7109375" style="199" customWidth="1"/>
    <col min="11523" max="11524" width="6.140625" style="199" customWidth="1"/>
    <col min="11525" max="11525" width="6.42578125" style="199" customWidth="1"/>
    <col min="11526" max="11526" width="6.85546875" style="199" customWidth="1"/>
    <col min="11527" max="11527" width="12.5703125" style="199" customWidth="1"/>
    <col min="11528" max="11528" width="12" style="199" customWidth="1"/>
    <col min="11529" max="11529" width="12.140625" style="199" customWidth="1"/>
    <col min="11530" max="11530" width="14.28515625" style="199" customWidth="1"/>
    <col min="11531" max="11776" width="9.140625" style="199"/>
    <col min="11777" max="11777" width="5.42578125" style="199" customWidth="1"/>
    <col min="11778" max="11778" width="7.7109375" style="199" customWidth="1"/>
    <col min="11779" max="11780" width="6.140625" style="199" customWidth="1"/>
    <col min="11781" max="11781" width="6.42578125" style="199" customWidth="1"/>
    <col min="11782" max="11782" width="6.85546875" style="199" customWidth="1"/>
    <col min="11783" max="11783" width="12.5703125" style="199" customWidth="1"/>
    <col min="11784" max="11784" width="12" style="199" customWidth="1"/>
    <col min="11785" max="11785" width="12.140625" style="199" customWidth="1"/>
    <col min="11786" max="11786" width="14.28515625" style="199" customWidth="1"/>
    <col min="11787" max="12032" width="9.140625" style="199"/>
    <col min="12033" max="12033" width="5.42578125" style="199" customWidth="1"/>
    <col min="12034" max="12034" width="7.7109375" style="199" customWidth="1"/>
    <col min="12035" max="12036" width="6.140625" style="199" customWidth="1"/>
    <col min="12037" max="12037" width="6.42578125" style="199" customWidth="1"/>
    <col min="12038" max="12038" width="6.85546875" style="199" customWidth="1"/>
    <col min="12039" max="12039" width="12.5703125" style="199" customWidth="1"/>
    <col min="12040" max="12040" width="12" style="199" customWidth="1"/>
    <col min="12041" max="12041" width="12.140625" style="199" customWidth="1"/>
    <col min="12042" max="12042" width="14.28515625" style="199" customWidth="1"/>
    <col min="12043" max="12288" width="9.140625" style="199"/>
    <col min="12289" max="12289" width="5.42578125" style="199" customWidth="1"/>
    <col min="12290" max="12290" width="7.7109375" style="199" customWidth="1"/>
    <col min="12291" max="12292" width="6.140625" style="199" customWidth="1"/>
    <col min="12293" max="12293" width="6.42578125" style="199" customWidth="1"/>
    <col min="12294" max="12294" width="6.85546875" style="199" customWidth="1"/>
    <col min="12295" max="12295" width="12.5703125" style="199" customWidth="1"/>
    <col min="12296" max="12296" width="12" style="199" customWidth="1"/>
    <col min="12297" max="12297" width="12.140625" style="199" customWidth="1"/>
    <col min="12298" max="12298" width="14.28515625" style="199" customWidth="1"/>
    <col min="12299" max="12544" width="9.140625" style="199"/>
    <col min="12545" max="12545" width="5.42578125" style="199" customWidth="1"/>
    <col min="12546" max="12546" width="7.7109375" style="199" customWidth="1"/>
    <col min="12547" max="12548" width="6.140625" style="199" customWidth="1"/>
    <col min="12549" max="12549" width="6.42578125" style="199" customWidth="1"/>
    <col min="12550" max="12550" width="6.85546875" style="199" customWidth="1"/>
    <col min="12551" max="12551" width="12.5703125" style="199" customWidth="1"/>
    <col min="12552" max="12552" width="12" style="199" customWidth="1"/>
    <col min="12553" max="12553" width="12.140625" style="199" customWidth="1"/>
    <col min="12554" max="12554" width="14.28515625" style="199" customWidth="1"/>
    <col min="12555" max="12800" width="9.140625" style="199"/>
    <col min="12801" max="12801" width="5.42578125" style="199" customWidth="1"/>
    <col min="12802" max="12802" width="7.7109375" style="199" customWidth="1"/>
    <col min="12803" max="12804" width="6.140625" style="199" customWidth="1"/>
    <col min="12805" max="12805" width="6.42578125" style="199" customWidth="1"/>
    <col min="12806" max="12806" width="6.85546875" style="199" customWidth="1"/>
    <col min="12807" max="12807" width="12.5703125" style="199" customWidth="1"/>
    <col min="12808" max="12808" width="12" style="199" customWidth="1"/>
    <col min="12809" max="12809" width="12.140625" style="199" customWidth="1"/>
    <col min="12810" max="12810" width="14.28515625" style="199" customWidth="1"/>
    <col min="12811" max="13056" width="9.140625" style="199"/>
    <col min="13057" max="13057" width="5.42578125" style="199" customWidth="1"/>
    <col min="13058" max="13058" width="7.7109375" style="199" customWidth="1"/>
    <col min="13059" max="13060" width="6.140625" style="199" customWidth="1"/>
    <col min="13061" max="13061" width="6.42578125" style="199" customWidth="1"/>
    <col min="13062" max="13062" width="6.85546875" style="199" customWidth="1"/>
    <col min="13063" max="13063" width="12.5703125" style="199" customWidth="1"/>
    <col min="13064" max="13064" width="12" style="199" customWidth="1"/>
    <col min="13065" max="13065" width="12.140625" style="199" customWidth="1"/>
    <col min="13066" max="13066" width="14.28515625" style="199" customWidth="1"/>
    <col min="13067" max="13312" width="9.140625" style="199"/>
    <col min="13313" max="13313" width="5.42578125" style="199" customWidth="1"/>
    <col min="13314" max="13314" width="7.7109375" style="199" customWidth="1"/>
    <col min="13315" max="13316" width="6.140625" style="199" customWidth="1"/>
    <col min="13317" max="13317" width="6.42578125" style="199" customWidth="1"/>
    <col min="13318" max="13318" width="6.85546875" style="199" customWidth="1"/>
    <col min="13319" max="13319" width="12.5703125" style="199" customWidth="1"/>
    <col min="13320" max="13320" width="12" style="199" customWidth="1"/>
    <col min="13321" max="13321" width="12.140625" style="199" customWidth="1"/>
    <col min="13322" max="13322" width="14.28515625" style="199" customWidth="1"/>
    <col min="13323" max="13568" width="9.140625" style="199"/>
    <col min="13569" max="13569" width="5.42578125" style="199" customWidth="1"/>
    <col min="13570" max="13570" width="7.7109375" style="199" customWidth="1"/>
    <col min="13571" max="13572" width="6.140625" style="199" customWidth="1"/>
    <col min="13573" max="13573" width="6.42578125" style="199" customWidth="1"/>
    <col min="13574" max="13574" width="6.85546875" style="199" customWidth="1"/>
    <col min="13575" max="13575" width="12.5703125" style="199" customWidth="1"/>
    <col min="13576" max="13576" width="12" style="199" customWidth="1"/>
    <col min="13577" max="13577" width="12.140625" style="199" customWidth="1"/>
    <col min="13578" max="13578" width="14.28515625" style="199" customWidth="1"/>
    <col min="13579" max="13824" width="9.140625" style="199"/>
    <col min="13825" max="13825" width="5.42578125" style="199" customWidth="1"/>
    <col min="13826" max="13826" width="7.7109375" style="199" customWidth="1"/>
    <col min="13827" max="13828" width="6.140625" style="199" customWidth="1"/>
    <col min="13829" max="13829" width="6.42578125" style="199" customWidth="1"/>
    <col min="13830" max="13830" width="6.85546875" style="199" customWidth="1"/>
    <col min="13831" max="13831" width="12.5703125" style="199" customWidth="1"/>
    <col min="13832" max="13832" width="12" style="199" customWidth="1"/>
    <col min="13833" max="13833" width="12.140625" style="199" customWidth="1"/>
    <col min="13834" max="13834" width="14.28515625" style="199" customWidth="1"/>
    <col min="13835" max="14080" width="9.140625" style="199"/>
    <col min="14081" max="14081" width="5.42578125" style="199" customWidth="1"/>
    <col min="14082" max="14082" width="7.7109375" style="199" customWidth="1"/>
    <col min="14083" max="14084" width="6.140625" style="199" customWidth="1"/>
    <col min="14085" max="14085" width="6.42578125" style="199" customWidth="1"/>
    <col min="14086" max="14086" width="6.85546875" style="199" customWidth="1"/>
    <col min="14087" max="14087" width="12.5703125" style="199" customWidth="1"/>
    <col min="14088" max="14088" width="12" style="199" customWidth="1"/>
    <col min="14089" max="14089" width="12.140625" style="199" customWidth="1"/>
    <col min="14090" max="14090" width="14.28515625" style="199" customWidth="1"/>
    <col min="14091" max="14336" width="9.140625" style="199"/>
    <col min="14337" max="14337" width="5.42578125" style="199" customWidth="1"/>
    <col min="14338" max="14338" width="7.7109375" style="199" customWidth="1"/>
    <col min="14339" max="14340" width="6.140625" style="199" customWidth="1"/>
    <col min="14341" max="14341" width="6.42578125" style="199" customWidth="1"/>
    <col min="14342" max="14342" width="6.85546875" style="199" customWidth="1"/>
    <col min="14343" max="14343" width="12.5703125" style="199" customWidth="1"/>
    <col min="14344" max="14344" width="12" style="199" customWidth="1"/>
    <col min="14345" max="14345" width="12.140625" style="199" customWidth="1"/>
    <col min="14346" max="14346" width="14.28515625" style="199" customWidth="1"/>
    <col min="14347" max="14592" width="9.140625" style="199"/>
    <col min="14593" max="14593" width="5.42578125" style="199" customWidth="1"/>
    <col min="14594" max="14594" width="7.7109375" style="199" customWidth="1"/>
    <col min="14595" max="14596" width="6.140625" style="199" customWidth="1"/>
    <col min="14597" max="14597" width="6.42578125" style="199" customWidth="1"/>
    <col min="14598" max="14598" width="6.85546875" style="199" customWidth="1"/>
    <col min="14599" max="14599" width="12.5703125" style="199" customWidth="1"/>
    <col min="14600" max="14600" width="12" style="199" customWidth="1"/>
    <col min="14601" max="14601" width="12.140625" style="199" customWidth="1"/>
    <col min="14602" max="14602" width="14.28515625" style="199" customWidth="1"/>
    <col min="14603" max="14848" width="9.140625" style="199"/>
    <col min="14849" max="14849" width="5.42578125" style="199" customWidth="1"/>
    <col min="14850" max="14850" width="7.7109375" style="199" customWidth="1"/>
    <col min="14851" max="14852" width="6.140625" style="199" customWidth="1"/>
    <col min="14853" max="14853" width="6.42578125" style="199" customWidth="1"/>
    <col min="14854" max="14854" width="6.85546875" style="199" customWidth="1"/>
    <col min="14855" max="14855" width="12.5703125" style="199" customWidth="1"/>
    <col min="14856" max="14856" width="12" style="199" customWidth="1"/>
    <col min="14857" max="14857" width="12.140625" style="199" customWidth="1"/>
    <col min="14858" max="14858" width="14.28515625" style="199" customWidth="1"/>
    <col min="14859" max="15104" width="9.140625" style="199"/>
    <col min="15105" max="15105" width="5.42578125" style="199" customWidth="1"/>
    <col min="15106" max="15106" width="7.7109375" style="199" customWidth="1"/>
    <col min="15107" max="15108" width="6.140625" style="199" customWidth="1"/>
    <col min="15109" max="15109" width="6.42578125" style="199" customWidth="1"/>
    <col min="15110" max="15110" width="6.85546875" style="199" customWidth="1"/>
    <col min="15111" max="15111" width="12.5703125" style="199" customWidth="1"/>
    <col min="15112" max="15112" width="12" style="199" customWidth="1"/>
    <col min="15113" max="15113" width="12.140625" style="199" customWidth="1"/>
    <col min="15114" max="15114" width="14.28515625" style="199" customWidth="1"/>
    <col min="15115" max="15360" width="9.140625" style="199"/>
    <col min="15361" max="15361" width="5.42578125" style="199" customWidth="1"/>
    <col min="15362" max="15362" width="7.7109375" style="199" customWidth="1"/>
    <col min="15363" max="15364" width="6.140625" style="199" customWidth="1"/>
    <col min="15365" max="15365" width="6.42578125" style="199" customWidth="1"/>
    <col min="15366" max="15366" width="6.85546875" style="199" customWidth="1"/>
    <col min="15367" max="15367" width="12.5703125" style="199" customWidth="1"/>
    <col min="15368" max="15368" width="12" style="199" customWidth="1"/>
    <col min="15369" max="15369" width="12.140625" style="199" customWidth="1"/>
    <col min="15370" max="15370" width="14.28515625" style="199" customWidth="1"/>
    <col min="15371" max="15616" width="9.140625" style="199"/>
    <col min="15617" max="15617" width="5.42578125" style="199" customWidth="1"/>
    <col min="15618" max="15618" width="7.7109375" style="199" customWidth="1"/>
    <col min="15619" max="15620" width="6.140625" style="199" customWidth="1"/>
    <col min="15621" max="15621" width="6.42578125" style="199" customWidth="1"/>
    <col min="15622" max="15622" width="6.85546875" style="199" customWidth="1"/>
    <col min="15623" max="15623" width="12.5703125" style="199" customWidth="1"/>
    <col min="15624" max="15624" width="12" style="199" customWidth="1"/>
    <col min="15625" max="15625" width="12.140625" style="199" customWidth="1"/>
    <col min="15626" max="15626" width="14.28515625" style="199" customWidth="1"/>
    <col min="15627" max="15872" width="9.140625" style="199"/>
    <col min="15873" max="15873" width="5.42578125" style="199" customWidth="1"/>
    <col min="15874" max="15874" width="7.7109375" style="199" customWidth="1"/>
    <col min="15875" max="15876" width="6.140625" style="199" customWidth="1"/>
    <col min="15877" max="15877" width="6.42578125" style="199" customWidth="1"/>
    <col min="15878" max="15878" width="6.85546875" style="199" customWidth="1"/>
    <col min="15879" max="15879" width="12.5703125" style="199" customWidth="1"/>
    <col min="15880" max="15880" width="12" style="199" customWidth="1"/>
    <col min="15881" max="15881" width="12.140625" style="199" customWidth="1"/>
    <col min="15882" max="15882" width="14.28515625" style="199" customWidth="1"/>
    <col min="15883" max="16128" width="9.140625" style="199"/>
    <col min="16129" max="16129" width="5.42578125" style="199" customWidth="1"/>
    <col min="16130" max="16130" width="7.7109375" style="199" customWidth="1"/>
    <col min="16131" max="16132" width="6.140625" style="199" customWidth="1"/>
    <col min="16133" max="16133" width="6.42578125" style="199" customWidth="1"/>
    <col min="16134" max="16134" width="6.85546875" style="199" customWidth="1"/>
    <col min="16135" max="16135" width="12.5703125" style="199" customWidth="1"/>
    <col min="16136" max="16136" width="12" style="199" customWidth="1"/>
    <col min="16137" max="16137" width="12.140625" style="199" customWidth="1"/>
    <col min="16138" max="16138" width="14.28515625" style="199" customWidth="1"/>
    <col min="16139" max="16384" width="9.140625" style="199"/>
  </cols>
  <sheetData>
    <row r="1" spans="1:10" ht="13.5">
      <c r="J1" s="200" t="s">
        <v>191</v>
      </c>
    </row>
    <row r="2" spans="1:10" ht="44.25" customHeight="1">
      <c r="A2" s="3261" t="s">
        <v>192</v>
      </c>
      <c r="B2" s="3262"/>
      <c r="C2" s="3262"/>
      <c r="D2" s="3262"/>
      <c r="E2" s="3262"/>
      <c r="F2" s="3262"/>
      <c r="G2" s="3262"/>
      <c r="H2" s="3262"/>
      <c r="I2" s="3262"/>
      <c r="J2" s="3262"/>
    </row>
    <row r="3" spans="1:10" ht="15.75" customHeight="1">
      <c r="A3" s="3263" t="str">
        <f>'Приложение '!A3:J3</f>
        <v>на "Водоснабдяване и канализация" ООД , гр. Враца</v>
      </c>
      <c r="B3" s="3263"/>
      <c r="C3" s="3263"/>
      <c r="D3" s="3263"/>
      <c r="E3" s="3263"/>
      <c r="F3" s="3263"/>
      <c r="G3" s="3263"/>
      <c r="H3" s="3263"/>
      <c r="I3" s="3263"/>
      <c r="J3" s="3263"/>
    </row>
    <row r="4" spans="1:10" ht="16.5" customHeight="1">
      <c r="A4" s="3263" t="str">
        <f>'Приложение '!A4:J4</f>
        <v>ЕИК по БУЛСТАТ: 816090199</v>
      </c>
      <c r="B4" s="3263"/>
      <c r="C4" s="3263"/>
      <c r="D4" s="3263"/>
      <c r="E4" s="3263"/>
      <c r="F4" s="3263"/>
      <c r="G4" s="3263"/>
      <c r="H4" s="3263"/>
      <c r="I4" s="3263"/>
      <c r="J4" s="3263"/>
    </row>
    <row r="5" spans="1:10" ht="13.5" thickBot="1"/>
    <row r="6" spans="1:10" ht="15.75">
      <c r="A6" s="3264" t="s">
        <v>1</v>
      </c>
      <c r="B6" s="3266" t="s">
        <v>94</v>
      </c>
      <c r="C6" s="3267"/>
      <c r="D6" s="3267"/>
      <c r="E6" s="3267"/>
      <c r="F6" s="3267"/>
      <c r="G6" s="3267"/>
      <c r="H6" s="3267"/>
      <c r="I6" s="3267"/>
      <c r="J6" s="3268"/>
    </row>
    <row r="7" spans="1:10" ht="16.5" thickBot="1">
      <c r="A7" s="3265"/>
      <c r="B7" s="3269" t="s">
        <v>95</v>
      </c>
      <c r="C7" s="3270"/>
      <c r="D7" s="3270"/>
      <c r="E7" s="3270"/>
      <c r="F7" s="3271"/>
      <c r="G7" s="3272" t="s">
        <v>96</v>
      </c>
      <c r="H7" s="3273"/>
      <c r="I7" s="3273"/>
      <c r="J7" s="3274"/>
    </row>
    <row r="8" spans="1:10" ht="16.5" thickBot="1">
      <c r="A8" s="201" t="s">
        <v>193</v>
      </c>
      <c r="B8" s="3275" t="s">
        <v>194</v>
      </c>
      <c r="C8" s="3276"/>
      <c r="D8" s="3276"/>
      <c r="E8" s="3276"/>
      <c r="F8" s="3277"/>
      <c r="G8" s="3278"/>
      <c r="H8" s="3279"/>
      <c r="I8" s="3279"/>
      <c r="J8" s="3280"/>
    </row>
    <row r="9" spans="1:10" ht="15.75">
      <c r="A9" s="202" t="s">
        <v>98</v>
      </c>
      <c r="B9" s="3281" t="s">
        <v>195</v>
      </c>
      <c r="C9" s="3282"/>
      <c r="D9" s="3282"/>
      <c r="E9" s="3282"/>
      <c r="F9" s="3283"/>
      <c r="G9" s="2738" t="str">
        <f>'Приложение '!G8&amp;", "&amp;'Приложение '!G9:J9</f>
        <v>"Водоснабдяване и канализация" ООД , Враца</v>
      </c>
      <c r="H9" s="2739"/>
      <c r="I9" s="2739"/>
      <c r="J9" s="2740"/>
    </row>
    <row r="10" spans="1:10" ht="15.75">
      <c r="A10" s="202"/>
      <c r="B10" s="3258" t="s">
        <v>102</v>
      </c>
      <c r="C10" s="3259"/>
      <c r="D10" s="3259"/>
      <c r="E10" s="3259"/>
      <c r="F10" s="3260"/>
      <c r="G10" s="2741" t="str">
        <f>'Приложение '!G10:J10</f>
        <v>816090199</v>
      </c>
      <c r="H10" s="2742"/>
      <c r="I10" s="2742"/>
      <c r="J10" s="2743"/>
    </row>
    <row r="11" spans="1:10" ht="15.75">
      <c r="A11" s="203" t="s">
        <v>101</v>
      </c>
      <c r="B11" s="3258" t="s">
        <v>196</v>
      </c>
      <c r="C11" s="3259"/>
      <c r="D11" s="3259"/>
      <c r="E11" s="3259"/>
      <c r="F11" s="3260"/>
      <c r="G11" s="3233" t="s">
        <v>1578</v>
      </c>
      <c r="H11" s="3234"/>
      <c r="I11" s="3234"/>
      <c r="J11" s="3235"/>
    </row>
    <row r="12" spans="1:10" ht="15.75">
      <c r="A12" s="203" t="s">
        <v>197</v>
      </c>
      <c r="B12" s="3258" t="s">
        <v>198</v>
      </c>
      <c r="C12" s="3259"/>
      <c r="D12" s="3259"/>
      <c r="E12" s="3259"/>
      <c r="F12" s="3260"/>
      <c r="G12" s="3233" t="s">
        <v>1583</v>
      </c>
      <c r="H12" s="3234"/>
      <c r="I12" s="3234"/>
      <c r="J12" s="3235"/>
    </row>
    <row r="13" spans="1:10" ht="15.75">
      <c r="A13" s="203" t="s">
        <v>199</v>
      </c>
      <c r="B13" s="3258" t="s">
        <v>200</v>
      </c>
      <c r="C13" s="3259"/>
      <c r="D13" s="3259"/>
      <c r="E13" s="3259"/>
      <c r="F13" s="3260"/>
      <c r="G13" s="3233" t="s">
        <v>1581</v>
      </c>
      <c r="H13" s="3234"/>
      <c r="I13" s="3234"/>
      <c r="J13" s="3235"/>
    </row>
    <row r="14" spans="1:10" ht="15.75">
      <c r="A14" s="203" t="s">
        <v>201</v>
      </c>
      <c r="B14" s="3258" t="s">
        <v>202</v>
      </c>
      <c r="C14" s="3259"/>
      <c r="D14" s="3259"/>
      <c r="E14" s="3259"/>
      <c r="F14" s="3260"/>
      <c r="G14" s="3233"/>
      <c r="H14" s="3234"/>
      <c r="I14" s="3234"/>
      <c r="J14" s="3235"/>
    </row>
    <row r="15" spans="1:10" ht="15.75">
      <c r="A15" s="203" t="s">
        <v>203</v>
      </c>
      <c r="B15" s="3258" t="s">
        <v>204</v>
      </c>
      <c r="C15" s="3259"/>
      <c r="D15" s="3259"/>
      <c r="E15" s="3259"/>
      <c r="F15" s="3260"/>
      <c r="G15" s="3233" t="s">
        <v>1584</v>
      </c>
      <c r="H15" s="3234"/>
      <c r="I15" s="3234"/>
      <c r="J15" s="3235"/>
    </row>
    <row r="16" spans="1:10" ht="15.75">
      <c r="A16" s="203" t="s">
        <v>205</v>
      </c>
      <c r="B16" s="3258" t="s">
        <v>206</v>
      </c>
      <c r="C16" s="3259"/>
      <c r="D16" s="3259"/>
      <c r="E16" s="3259"/>
      <c r="F16" s="3260"/>
      <c r="G16" s="3233" t="s">
        <v>1585</v>
      </c>
      <c r="H16" s="3234"/>
      <c r="I16" s="3234"/>
      <c r="J16" s="3235"/>
    </row>
    <row r="17" spans="1:10" ht="15.75">
      <c r="A17" s="203" t="s">
        <v>207</v>
      </c>
      <c r="B17" s="3258" t="s">
        <v>208</v>
      </c>
      <c r="C17" s="3259"/>
      <c r="D17" s="3259"/>
      <c r="E17" s="3259"/>
      <c r="F17" s="3260"/>
      <c r="G17" s="3128" t="s">
        <v>1586</v>
      </c>
      <c r="H17" s="3128"/>
      <c r="I17" s="3128"/>
      <c r="J17" s="12"/>
    </row>
    <row r="18" spans="1:10" ht="15.75">
      <c r="A18" s="203"/>
      <c r="B18" s="1384"/>
      <c r="C18" s="1385"/>
      <c r="D18" s="1385"/>
      <c r="E18" s="1385"/>
      <c r="F18" s="1386"/>
      <c r="G18" s="3128" t="s">
        <v>1587</v>
      </c>
      <c r="H18" s="3128"/>
      <c r="I18" s="3128"/>
      <c r="J18" s="12" t="s">
        <v>1616</v>
      </c>
    </row>
    <row r="19" spans="1:10" ht="15.75">
      <c r="A19" s="203"/>
      <c r="B19" s="1384"/>
      <c r="C19" s="1385"/>
      <c r="D19" s="1385"/>
      <c r="E19" s="1385"/>
      <c r="F19" s="1386"/>
      <c r="G19" s="3128" t="s">
        <v>1588</v>
      </c>
      <c r="H19" s="3128"/>
      <c r="I19" s="3128"/>
      <c r="J19" s="12" t="s">
        <v>1617</v>
      </c>
    </row>
    <row r="20" spans="1:10" ht="15.75">
      <c r="A20" s="203"/>
      <c r="B20" s="3258"/>
      <c r="C20" s="3259"/>
      <c r="D20" s="3259"/>
      <c r="E20" s="3259"/>
      <c r="F20" s="3260"/>
      <c r="G20" s="3128" t="s">
        <v>1589</v>
      </c>
      <c r="H20" s="3128"/>
      <c r="I20" s="3128"/>
      <c r="J20" s="12" t="s">
        <v>1615</v>
      </c>
    </row>
    <row r="21" spans="1:10" ht="15.75">
      <c r="A21" s="203"/>
      <c r="B21" s="3258"/>
      <c r="C21" s="3259"/>
      <c r="D21" s="3259"/>
      <c r="E21" s="3259"/>
      <c r="F21" s="3260"/>
      <c r="G21" s="3128" t="s">
        <v>1590</v>
      </c>
      <c r="H21" s="3128"/>
      <c r="I21" s="3128"/>
      <c r="J21" s="12"/>
    </row>
    <row r="22" spans="1:10" ht="15.75">
      <c r="A22" s="203"/>
      <c r="B22" s="3258"/>
      <c r="C22" s="3259"/>
      <c r="D22" s="3259"/>
      <c r="E22" s="3259"/>
      <c r="F22" s="3260"/>
      <c r="G22" s="3128" t="s">
        <v>1591</v>
      </c>
      <c r="H22" s="3128"/>
      <c r="I22" s="3128"/>
      <c r="J22" s="12"/>
    </row>
    <row r="23" spans="1:10" ht="16.5" thickBot="1">
      <c r="A23" s="204"/>
      <c r="B23" s="3287"/>
      <c r="C23" s="3288"/>
      <c r="D23" s="3288"/>
      <c r="E23" s="3288"/>
      <c r="F23" s="3289"/>
      <c r="G23" s="3128" t="s">
        <v>1592</v>
      </c>
      <c r="H23" s="3128"/>
      <c r="I23" s="3128"/>
      <c r="J23" s="17"/>
    </row>
    <row r="24" spans="1:10" ht="16.5" thickBot="1">
      <c r="A24" s="201" t="s">
        <v>103</v>
      </c>
      <c r="B24" s="3275" t="s">
        <v>209</v>
      </c>
      <c r="C24" s="3276"/>
      <c r="D24" s="3276"/>
      <c r="E24" s="3276"/>
      <c r="F24" s="3277"/>
      <c r="G24" s="205"/>
      <c r="H24" s="206"/>
      <c r="I24" s="206"/>
      <c r="J24" s="207"/>
    </row>
    <row r="25" spans="1:10" ht="15.75">
      <c r="A25" s="208" t="s">
        <v>105</v>
      </c>
      <c r="B25" s="3290" t="s">
        <v>210</v>
      </c>
      <c r="C25" s="3291"/>
      <c r="D25" s="3291"/>
      <c r="E25" s="3291"/>
      <c r="F25" s="3292"/>
      <c r="G25" s="3302" t="s">
        <v>1593</v>
      </c>
      <c r="H25" s="3303"/>
      <c r="I25" s="3303"/>
      <c r="J25" s="3304"/>
    </row>
    <row r="26" spans="1:10" ht="15.75">
      <c r="A26" s="209" t="s">
        <v>107</v>
      </c>
      <c r="B26" s="3284" t="s">
        <v>211</v>
      </c>
      <c r="C26" s="3285"/>
      <c r="D26" s="3285"/>
      <c r="E26" s="3285"/>
      <c r="F26" s="3286"/>
      <c r="G26" s="2744"/>
      <c r="H26" s="2745"/>
      <c r="I26" s="2745"/>
      <c r="J26" s="2746"/>
    </row>
    <row r="27" spans="1:10" ht="15.75">
      <c r="A27" s="203" t="s">
        <v>212</v>
      </c>
      <c r="B27" s="3296" t="s">
        <v>928</v>
      </c>
      <c r="C27" s="3297"/>
      <c r="D27" s="3297"/>
      <c r="E27" s="3297"/>
      <c r="F27" s="3298"/>
      <c r="G27" s="3189" t="s">
        <v>1594</v>
      </c>
      <c r="H27" s="3190"/>
      <c r="I27" s="3190"/>
      <c r="J27" s="3191"/>
    </row>
    <row r="28" spans="1:10" ht="15.75">
      <c r="A28" s="203"/>
      <c r="B28" s="3293" t="s">
        <v>213</v>
      </c>
      <c r="C28" s="3294"/>
      <c r="D28" s="3294"/>
      <c r="E28" s="3294"/>
      <c r="F28" s="3295"/>
      <c r="G28" s="3189" t="s">
        <v>1595</v>
      </c>
      <c r="H28" s="3190"/>
      <c r="I28" s="3190"/>
      <c r="J28" s="3191"/>
    </row>
    <row r="29" spans="1:10" ht="15.75">
      <c r="A29" s="203"/>
      <c r="B29" s="3293" t="s">
        <v>214</v>
      </c>
      <c r="C29" s="3294"/>
      <c r="D29" s="3294"/>
      <c r="E29" s="3294"/>
      <c r="F29" s="3295"/>
      <c r="G29" s="3189" t="s">
        <v>1596</v>
      </c>
      <c r="H29" s="3190"/>
      <c r="I29" s="3190"/>
      <c r="J29" s="3191"/>
    </row>
    <row r="30" spans="1:10" ht="15.75">
      <c r="A30" s="203"/>
      <c r="B30" s="3293" t="s">
        <v>215</v>
      </c>
      <c r="C30" s="3294"/>
      <c r="D30" s="3294"/>
      <c r="E30" s="3294"/>
      <c r="F30" s="3295"/>
      <c r="G30" s="3189" t="s">
        <v>1597</v>
      </c>
      <c r="H30" s="3190"/>
      <c r="I30" s="3190"/>
      <c r="J30" s="3191"/>
    </row>
    <row r="31" spans="1:10" ht="15.75">
      <c r="A31" s="203"/>
      <c r="B31" s="3293" t="s">
        <v>216</v>
      </c>
      <c r="C31" s="3294"/>
      <c r="D31" s="3294"/>
      <c r="E31" s="3294"/>
      <c r="F31" s="3295"/>
      <c r="G31" s="3189" t="s">
        <v>1598</v>
      </c>
      <c r="H31" s="3190"/>
      <c r="I31" s="3190"/>
      <c r="J31" s="3191"/>
    </row>
    <row r="32" spans="1:10" ht="15.75">
      <c r="A32" s="203" t="s">
        <v>217</v>
      </c>
      <c r="B32" s="3296" t="s">
        <v>929</v>
      </c>
      <c r="C32" s="3297"/>
      <c r="D32" s="3297"/>
      <c r="E32" s="3297"/>
      <c r="F32" s="3298"/>
      <c r="G32" s="3189" t="s">
        <v>1599</v>
      </c>
      <c r="H32" s="3190"/>
      <c r="I32" s="3190"/>
      <c r="J32" s="3191"/>
    </row>
    <row r="33" spans="1:10" ht="15.75">
      <c r="A33" s="203"/>
      <c r="B33" s="3293" t="s">
        <v>213</v>
      </c>
      <c r="C33" s="3294"/>
      <c r="D33" s="3294"/>
      <c r="E33" s="3294"/>
      <c r="F33" s="3295"/>
      <c r="G33" s="3189" t="s">
        <v>1600</v>
      </c>
      <c r="H33" s="3190"/>
      <c r="I33" s="3190"/>
      <c r="J33" s="3191"/>
    </row>
    <row r="34" spans="1:10" ht="15.75">
      <c r="A34" s="203"/>
      <c r="B34" s="3293" t="s">
        <v>214</v>
      </c>
      <c r="C34" s="3294"/>
      <c r="D34" s="3294"/>
      <c r="E34" s="3294"/>
      <c r="F34" s="3295"/>
      <c r="G34" s="3189" t="s">
        <v>1601</v>
      </c>
      <c r="H34" s="3190"/>
      <c r="I34" s="3190"/>
      <c r="J34" s="3191"/>
    </row>
    <row r="35" spans="1:10" ht="15.75">
      <c r="A35" s="203"/>
      <c r="B35" s="3293" t="s">
        <v>215</v>
      </c>
      <c r="C35" s="3294"/>
      <c r="D35" s="3294"/>
      <c r="E35" s="3294"/>
      <c r="F35" s="3295"/>
      <c r="G35" s="3189" t="s">
        <v>1597</v>
      </c>
      <c r="H35" s="3190"/>
      <c r="I35" s="3190"/>
      <c r="J35" s="3191"/>
    </row>
    <row r="36" spans="1:10" ht="15.75">
      <c r="A36" s="203"/>
      <c r="B36" s="3293" t="s">
        <v>216</v>
      </c>
      <c r="C36" s="3294"/>
      <c r="D36" s="3294"/>
      <c r="E36" s="3294"/>
      <c r="F36" s="3295"/>
      <c r="G36" s="3189" t="s">
        <v>1598</v>
      </c>
      <c r="H36" s="3190"/>
      <c r="I36" s="3190"/>
      <c r="J36" s="3191"/>
    </row>
    <row r="37" spans="1:10" ht="15.75">
      <c r="A37" s="203" t="s">
        <v>218</v>
      </c>
      <c r="B37" s="3296" t="s">
        <v>930</v>
      </c>
      <c r="C37" s="3297"/>
      <c r="D37" s="3297"/>
      <c r="E37" s="3297"/>
      <c r="F37" s="3298"/>
      <c r="G37" s="3189" t="s">
        <v>1602</v>
      </c>
      <c r="H37" s="3190"/>
      <c r="I37" s="3190"/>
      <c r="J37" s="3191"/>
    </row>
    <row r="38" spans="1:10" ht="15.75">
      <c r="A38" s="203"/>
      <c r="B38" s="3293" t="s">
        <v>213</v>
      </c>
      <c r="C38" s="3294"/>
      <c r="D38" s="3294"/>
      <c r="E38" s="3294"/>
      <c r="F38" s="3295"/>
      <c r="G38" s="3189" t="s">
        <v>1603</v>
      </c>
      <c r="H38" s="3190"/>
      <c r="I38" s="3190"/>
      <c r="J38" s="3191"/>
    </row>
    <row r="39" spans="1:10" ht="15.75">
      <c r="A39" s="203"/>
      <c r="B39" s="3293" t="s">
        <v>214</v>
      </c>
      <c r="C39" s="3294"/>
      <c r="D39" s="3294"/>
      <c r="E39" s="3294"/>
      <c r="F39" s="3295"/>
      <c r="G39" s="3189" t="s">
        <v>1604</v>
      </c>
      <c r="H39" s="3190"/>
      <c r="I39" s="3190"/>
      <c r="J39" s="3191"/>
    </row>
    <row r="40" spans="1:10" ht="15.75">
      <c r="A40" s="203"/>
      <c r="B40" s="3293" t="s">
        <v>215</v>
      </c>
      <c r="C40" s="3294"/>
      <c r="D40" s="3294"/>
      <c r="E40" s="3294"/>
      <c r="F40" s="3295"/>
      <c r="G40" s="3189" t="s">
        <v>1597</v>
      </c>
      <c r="H40" s="3190"/>
      <c r="I40" s="3190"/>
      <c r="J40" s="3191"/>
    </row>
    <row r="41" spans="1:10" ht="15.75">
      <c r="A41" s="203"/>
      <c r="B41" s="3293" t="s">
        <v>216</v>
      </c>
      <c r="C41" s="3294"/>
      <c r="D41" s="3294"/>
      <c r="E41" s="3294"/>
      <c r="F41" s="3295"/>
      <c r="G41" s="3189" t="s">
        <v>1598</v>
      </c>
      <c r="H41" s="3190"/>
      <c r="I41" s="3190"/>
      <c r="J41" s="3191"/>
    </row>
    <row r="42" spans="1:10" ht="15.75">
      <c r="A42" s="203" t="s">
        <v>219</v>
      </c>
      <c r="B42" s="3296" t="s">
        <v>1513</v>
      </c>
      <c r="C42" s="3297"/>
      <c r="D42" s="3297"/>
      <c r="E42" s="3297"/>
      <c r="F42" s="3298"/>
      <c r="G42" s="3189" t="s">
        <v>1605</v>
      </c>
      <c r="H42" s="3190"/>
      <c r="I42" s="3190"/>
      <c r="J42" s="3191"/>
    </row>
    <row r="43" spans="1:10" ht="15.75">
      <c r="A43" s="203"/>
      <c r="B43" s="3293" t="s">
        <v>213</v>
      </c>
      <c r="C43" s="3294"/>
      <c r="D43" s="3294"/>
      <c r="E43" s="3294"/>
      <c r="F43" s="3295"/>
      <c r="G43" s="3189" t="s">
        <v>1606</v>
      </c>
      <c r="H43" s="3190"/>
      <c r="I43" s="3190"/>
      <c r="J43" s="3191"/>
    </row>
    <row r="44" spans="1:10" ht="15.75">
      <c r="A44" s="203"/>
      <c r="B44" s="3293" t="s">
        <v>214</v>
      </c>
      <c r="C44" s="3294"/>
      <c r="D44" s="3294"/>
      <c r="E44" s="3294"/>
      <c r="F44" s="3295"/>
      <c r="G44" s="3189" t="s">
        <v>1607</v>
      </c>
      <c r="H44" s="3190"/>
      <c r="I44" s="3190"/>
      <c r="J44" s="3191"/>
    </row>
    <row r="45" spans="1:10" ht="15.75">
      <c r="A45" s="203"/>
      <c r="B45" s="3293" t="s">
        <v>215</v>
      </c>
      <c r="C45" s="3294"/>
      <c r="D45" s="3294"/>
      <c r="E45" s="3294"/>
      <c r="F45" s="3295"/>
      <c r="G45" s="3189" t="s">
        <v>1608</v>
      </c>
      <c r="H45" s="3190"/>
      <c r="I45" s="3190"/>
      <c r="J45" s="3191"/>
    </row>
    <row r="46" spans="1:10" ht="15.75">
      <c r="A46" s="203"/>
      <c r="B46" s="3293" t="s">
        <v>216</v>
      </c>
      <c r="C46" s="3294"/>
      <c r="D46" s="3294"/>
      <c r="E46" s="3294"/>
      <c r="F46" s="3295"/>
      <c r="G46" s="3189" t="s">
        <v>1598</v>
      </c>
      <c r="H46" s="3190"/>
      <c r="I46" s="3190"/>
      <c r="J46" s="3191"/>
    </row>
    <row r="47" spans="1:10" ht="15.75">
      <c r="A47" s="203" t="s">
        <v>220</v>
      </c>
      <c r="B47" s="3296" t="s">
        <v>221</v>
      </c>
      <c r="C47" s="3297"/>
      <c r="D47" s="3297"/>
      <c r="E47" s="3297"/>
      <c r="F47" s="3298"/>
      <c r="G47" s="3189" t="s">
        <v>1609</v>
      </c>
      <c r="H47" s="3190"/>
      <c r="I47" s="3190"/>
      <c r="J47" s="3191"/>
    </row>
    <row r="48" spans="1:10" ht="15.75">
      <c r="A48" s="203"/>
      <c r="B48" s="3293" t="s">
        <v>213</v>
      </c>
      <c r="C48" s="3294"/>
      <c r="D48" s="3294"/>
      <c r="E48" s="3294"/>
      <c r="F48" s="3295"/>
      <c r="G48" s="3189" t="s">
        <v>1595</v>
      </c>
      <c r="H48" s="3190"/>
      <c r="I48" s="3190"/>
      <c r="J48" s="3191"/>
    </row>
    <row r="49" spans="1:11" ht="15.75">
      <c r="A49" s="203"/>
      <c r="B49" s="3293" t="s">
        <v>215</v>
      </c>
      <c r="C49" s="3294"/>
      <c r="D49" s="3294"/>
      <c r="E49" s="3294"/>
      <c r="F49" s="3295"/>
      <c r="G49" s="3189" t="s">
        <v>1597</v>
      </c>
      <c r="H49" s="3190"/>
      <c r="I49" s="3190"/>
      <c r="J49" s="3191"/>
    </row>
    <row r="50" spans="1:11" ht="16.5" thickBot="1">
      <c r="A50" s="210"/>
      <c r="B50" s="3299" t="s">
        <v>216</v>
      </c>
      <c r="C50" s="3300"/>
      <c r="D50" s="3300"/>
      <c r="E50" s="3300"/>
      <c r="F50" s="3301"/>
      <c r="G50" s="3180" t="s">
        <v>1598</v>
      </c>
      <c r="H50" s="3181"/>
      <c r="I50" s="3181"/>
      <c r="J50" s="3182"/>
    </row>
    <row r="52" spans="1:11" ht="22.5" customHeight="1"/>
    <row r="53" spans="1:11">
      <c r="H53" s="211" t="str">
        <f>'Приложение '!H56</f>
        <v>Главен счетоводител:</v>
      </c>
      <c r="I53" s="212" t="s">
        <v>4</v>
      </c>
      <c r="K53" s="213"/>
    </row>
    <row r="54" spans="1:11">
      <c r="B54" s="214" t="str">
        <f>'Приложение '!B56</f>
        <v>Дата: 27.06.2016г.</v>
      </c>
      <c r="G54" s="215"/>
      <c r="H54" s="216"/>
      <c r="I54" s="217"/>
      <c r="J54" s="218" t="s">
        <v>5</v>
      </c>
    </row>
    <row r="55" spans="1:11">
      <c r="B55" s="214"/>
      <c r="G55" s="215"/>
      <c r="H55" s="216"/>
      <c r="I55" s="217"/>
      <c r="J55" s="218"/>
    </row>
    <row r="56" spans="1:11">
      <c r="B56" s="214"/>
      <c r="G56" s="215"/>
      <c r="H56" s="216"/>
      <c r="I56" s="217"/>
      <c r="J56" s="218"/>
    </row>
    <row r="57" spans="1:11">
      <c r="F57" s="219"/>
      <c r="G57" s="220"/>
      <c r="H57" s="211" t="str">
        <f>'Приложение '!H60</f>
        <v>Управител:</v>
      </c>
      <c r="I57" s="212" t="s">
        <v>4</v>
      </c>
      <c r="J57" s="221"/>
      <c r="K57" s="217"/>
    </row>
    <row r="58" spans="1:11">
      <c r="F58" s="217"/>
      <c r="G58" s="217"/>
      <c r="H58" s="211"/>
      <c r="J58" s="218" t="s">
        <v>6</v>
      </c>
      <c r="K58" s="217"/>
    </row>
    <row r="59" spans="1:11">
      <c r="F59" s="217"/>
      <c r="G59" s="217"/>
      <c r="H59" s="216"/>
      <c r="I59" s="217"/>
      <c r="K59" s="222"/>
    </row>
    <row r="60" spans="1:11" s="225" customFormat="1" ht="15.75">
      <c r="A60" s="215" t="s">
        <v>757</v>
      </c>
      <c r="F60" s="226"/>
      <c r="G60" s="227"/>
      <c r="H60" s="226"/>
      <c r="I60" s="228"/>
    </row>
    <row r="61" spans="1:11" s="221" customFormat="1">
      <c r="A61" s="229" t="s">
        <v>248</v>
      </c>
      <c r="B61" s="230"/>
      <c r="C61" s="230"/>
      <c r="D61" s="230"/>
      <c r="E61" s="231"/>
      <c r="F61" s="231"/>
      <c r="G61" s="231"/>
    </row>
    <row r="62" spans="1:11">
      <c r="F62" s="219"/>
      <c r="G62" s="223"/>
      <c r="H62" s="219"/>
      <c r="I62" s="224"/>
    </row>
  </sheetData>
  <sheetProtection password="C6DB" sheet="1" objects="1" scenarios="1" formatCells="0" formatColumns="0"/>
  <mergeCells count="80">
    <mergeCell ref="G42:J42"/>
    <mergeCell ref="G43:J43"/>
    <mergeCell ref="G44:J44"/>
    <mergeCell ref="G50:J50"/>
    <mergeCell ref="G45:J45"/>
    <mergeCell ref="G46:J46"/>
    <mergeCell ref="G47:J47"/>
    <mergeCell ref="G48:J48"/>
    <mergeCell ref="G49:J49"/>
    <mergeCell ref="G37:J37"/>
    <mergeCell ref="G38:J38"/>
    <mergeCell ref="G39:J39"/>
    <mergeCell ref="G40:J40"/>
    <mergeCell ref="G41:J41"/>
    <mergeCell ref="G32:J32"/>
    <mergeCell ref="G33:J33"/>
    <mergeCell ref="G34:J34"/>
    <mergeCell ref="G35:J35"/>
    <mergeCell ref="G36:J36"/>
    <mergeCell ref="G27:J27"/>
    <mergeCell ref="G28:J28"/>
    <mergeCell ref="G29:J29"/>
    <mergeCell ref="G30:J30"/>
    <mergeCell ref="G31:J31"/>
    <mergeCell ref="G13:J13"/>
    <mergeCell ref="G14:J14"/>
    <mergeCell ref="G15:J15"/>
    <mergeCell ref="G16:J16"/>
    <mergeCell ref="G25:J25"/>
    <mergeCell ref="B50:F50"/>
    <mergeCell ref="B39:F39"/>
    <mergeCell ref="B40:F40"/>
    <mergeCell ref="B41:F41"/>
    <mergeCell ref="B42:F42"/>
    <mergeCell ref="B43:F43"/>
    <mergeCell ref="B44:F44"/>
    <mergeCell ref="B45:F45"/>
    <mergeCell ref="B46:F46"/>
    <mergeCell ref="B47:F47"/>
    <mergeCell ref="B48:F48"/>
    <mergeCell ref="B49:F49"/>
    <mergeCell ref="B38:F38"/>
    <mergeCell ref="B27:F27"/>
    <mergeCell ref="B28:F28"/>
    <mergeCell ref="B29:F29"/>
    <mergeCell ref="B30:F30"/>
    <mergeCell ref="B31:F31"/>
    <mergeCell ref="B32:F32"/>
    <mergeCell ref="B33:F33"/>
    <mergeCell ref="B34:F34"/>
    <mergeCell ref="B35:F35"/>
    <mergeCell ref="B36:F36"/>
    <mergeCell ref="B37:F37"/>
    <mergeCell ref="B26:F26"/>
    <mergeCell ref="B13:F13"/>
    <mergeCell ref="B14:F14"/>
    <mergeCell ref="B15:F15"/>
    <mergeCell ref="B16:F16"/>
    <mergeCell ref="B17:F17"/>
    <mergeCell ref="B20:F20"/>
    <mergeCell ref="B21:F21"/>
    <mergeCell ref="B22:F22"/>
    <mergeCell ref="B23:F23"/>
    <mergeCell ref="B24:F24"/>
    <mergeCell ref="B25:F25"/>
    <mergeCell ref="B12:F12"/>
    <mergeCell ref="A2:J2"/>
    <mergeCell ref="A3:J3"/>
    <mergeCell ref="A4:J4"/>
    <mergeCell ref="A6:A7"/>
    <mergeCell ref="B6:J6"/>
    <mergeCell ref="B7:F7"/>
    <mergeCell ref="G7:J7"/>
    <mergeCell ref="B8:F8"/>
    <mergeCell ref="G8:J8"/>
    <mergeCell ref="B9:F9"/>
    <mergeCell ref="B11:F11"/>
    <mergeCell ref="B10:F10"/>
    <mergeCell ref="G11:J11"/>
    <mergeCell ref="G12:J12"/>
  </mergeCells>
  <printOptions horizontalCentered="1"/>
  <pageMargins left="0.94488188976377963" right="0.74803149606299213" top="0.59055118110236227" bottom="0.59055118110236227" header="0.51181102362204722" footer="0.51181102362204722"/>
  <pageSetup paperSize="9" scale="79" orientation="portrait" r:id="rId1"/>
  <headerFooter alignWithMargins="0"/>
  <ignoredErrors>
    <ignoredError sqref="A11:A17 A8:A9" numberStoredAsText="1"/>
    <ignoredError sqref="G9:G10"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26"/>
  </sheetPr>
  <dimension ref="A1:T125"/>
  <sheetViews>
    <sheetView showGridLines="0" view="pageBreakPreview" zoomScale="70" zoomScaleNormal="80" zoomScaleSheetLayoutView="70" workbookViewId="0">
      <pane xSplit="4" ySplit="7" topLeftCell="E92" activePane="bottomRight" state="frozen"/>
      <selection pane="topRight" activeCell="E1" sqref="E1"/>
      <selection pane="bottomLeft" activeCell="A8" sqref="A8"/>
      <selection pane="bottomRight" activeCell="B88" sqref="A88:XFD88"/>
    </sheetView>
  </sheetViews>
  <sheetFormatPr defaultRowHeight="12.75"/>
  <cols>
    <col min="1" max="1" width="16" style="1" customWidth="1"/>
    <col min="2" max="2" width="9.140625" style="1" customWidth="1"/>
    <col min="3" max="3" width="67.140625" style="1" customWidth="1"/>
    <col min="4" max="4" width="12.7109375" style="2705" customWidth="1"/>
    <col min="5" max="11" width="10" style="2705" customWidth="1"/>
    <col min="12" max="12" width="8.28515625" style="2705" customWidth="1"/>
    <col min="13" max="18" width="7.28515625" style="2707" customWidth="1"/>
    <col min="19" max="19" width="16.140625" style="2705" customWidth="1"/>
    <col min="20" max="20" width="17.5703125" style="2705" customWidth="1"/>
    <col min="21" max="16384" width="9.140625" style="1"/>
  </cols>
  <sheetData>
    <row r="1" spans="1:20" ht="18.75" customHeight="1">
      <c r="E1" s="3315"/>
      <c r="F1" s="3315"/>
      <c r="H1" s="2706"/>
      <c r="I1" s="2706"/>
      <c r="J1" s="2706"/>
      <c r="R1" s="2708" t="s">
        <v>0</v>
      </c>
    </row>
    <row r="2" spans="1:20" s="676" customFormat="1" ht="36.75" customHeight="1">
      <c r="A2" s="3311" t="s">
        <v>497</v>
      </c>
      <c r="B2" s="3311"/>
      <c r="C2" s="3311"/>
      <c r="D2" s="3311"/>
      <c r="E2" s="3311"/>
      <c r="F2" s="3311"/>
      <c r="G2" s="3311"/>
      <c r="H2" s="3311"/>
      <c r="I2" s="3311"/>
      <c r="J2" s="3311"/>
      <c r="K2" s="3311"/>
      <c r="L2" s="3311"/>
      <c r="M2" s="3311"/>
      <c r="N2" s="3311"/>
      <c r="O2" s="3311"/>
      <c r="P2" s="3311"/>
      <c r="Q2" s="3311"/>
      <c r="R2" s="3311"/>
      <c r="S2" s="2709"/>
      <c r="T2" s="2709"/>
    </row>
    <row r="3" spans="1:20" s="677" customFormat="1" ht="22.5" customHeight="1">
      <c r="A3" s="3312" t="str">
        <f>'1. Анкетна карта'!A3:J3</f>
        <v>на "Водоснабдяване и канализация" ООД , гр. Враца</v>
      </c>
      <c r="B3" s="3312"/>
      <c r="C3" s="3312"/>
      <c r="D3" s="3312"/>
      <c r="E3" s="3312"/>
      <c r="F3" s="3312"/>
      <c r="G3" s="3312"/>
      <c r="H3" s="3312"/>
      <c r="I3" s="3312"/>
      <c r="J3" s="3312"/>
      <c r="K3" s="3312"/>
      <c r="L3" s="3312"/>
      <c r="M3" s="3312"/>
      <c r="N3" s="3312"/>
      <c r="O3" s="3312"/>
      <c r="P3" s="3312"/>
      <c r="Q3" s="3312"/>
      <c r="R3" s="3312"/>
      <c r="S3" s="2710"/>
      <c r="T3" s="2710"/>
    </row>
    <row r="4" spans="1:20" s="675" customFormat="1" ht="35.25" customHeight="1">
      <c r="A4" s="3310" t="str">
        <f>'1. Анкетна карта'!A4:J4</f>
        <v>ЕИК по БУЛСТАТ: 816090199</v>
      </c>
      <c r="B4" s="3310"/>
      <c r="C4" s="3310"/>
      <c r="D4" s="3310"/>
      <c r="E4" s="3310"/>
      <c r="F4" s="3310"/>
      <c r="G4" s="3310"/>
      <c r="H4" s="3310"/>
      <c r="I4" s="3310"/>
      <c r="J4" s="3310"/>
      <c r="K4" s="3310"/>
      <c r="L4" s="3310"/>
      <c r="M4" s="3310"/>
      <c r="N4" s="3310"/>
      <c r="O4" s="3310"/>
      <c r="P4" s="3310"/>
      <c r="Q4" s="3310"/>
      <c r="R4" s="3310"/>
      <c r="S4" s="2707"/>
      <c r="T4" s="2707"/>
    </row>
    <row r="5" spans="1:20" s="675" customFormat="1" ht="7.5" customHeight="1" thickBot="1">
      <c r="B5" s="685"/>
      <c r="C5" s="685"/>
      <c r="D5" s="2631"/>
      <c r="E5" s="2631"/>
      <c r="F5" s="2631"/>
      <c r="G5" s="2631"/>
      <c r="H5" s="2631"/>
      <c r="I5" s="2631"/>
      <c r="J5" s="2631"/>
      <c r="K5" s="2631"/>
      <c r="L5" s="2631"/>
      <c r="M5" s="2631"/>
      <c r="N5" s="2631"/>
      <c r="O5" s="2631"/>
      <c r="P5" s="2631"/>
      <c r="Q5" s="2631"/>
      <c r="R5" s="2631"/>
      <c r="S5" s="2707"/>
      <c r="T5" s="2707"/>
    </row>
    <row r="6" spans="1:20" ht="45.75" customHeight="1" thickBot="1">
      <c r="A6" s="3313" t="s">
        <v>1123</v>
      </c>
      <c r="B6" s="3318" t="s">
        <v>1</v>
      </c>
      <c r="C6" s="3316" t="s">
        <v>2</v>
      </c>
      <c r="D6" s="3313" t="s">
        <v>1015</v>
      </c>
      <c r="E6" s="3307" t="s">
        <v>1227</v>
      </c>
      <c r="F6" s="3308"/>
      <c r="G6" s="3308"/>
      <c r="H6" s="3308"/>
      <c r="I6" s="3308"/>
      <c r="J6" s="3308"/>
      <c r="K6" s="3309"/>
      <c r="L6" s="3307" t="s">
        <v>1111</v>
      </c>
      <c r="M6" s="3308"/>
      <c r="N6" s="3308"/>
      <c r="O6" s="3308"/>
      <c r="P6" s="3308"/>
      <c r="Q6" s="3308"/>
      <c r="R6" s="3309"/>
      <c r="S6" s="3305" t="s">
        <v>1368</v>
      </c>
      <c r="T6" s="3306"/>
    </row>
    <row r="7" spans="1:20" ht="24.75" customHeight="1" thickBot="1">
      <c r="A7" s="3314"/>
      <c r="B7" s="3319"/>
      <c r="C7" s="3317"/>
      <c r="D7" s="3314"/>
      <c r="E7" s="2700" t="str">
        <f>'Приложение '!G12</f>
        <v>2015 г.</v>
      </c>
      <c r="F7" s="2701" t="str">
        <f>'Приложение '!G13</f>
        <v>2016 г.</v>
      </c>
      <c r="G7" s="2702" t="str">
        <f>'Приложение '!G14</f>
        <v>2017 г.</v>
      </c>
      <c r="H7" s="2702" t="str">
        <f>'Приложение '!G15</f>
        <v>2018 г.</v>
      </c>
      <c r="I7" s="2702" t="str">
        <f>'Приложение '!G16</f>
        <v>2019 г.</v>
      </c>
      <c r="J7" s="2702" t="str">
        <f>'Приложение '!G17</f>
        <v>2020 г.</v>
      </c>
      <c r="K7" s="2703" t="str">
        <f>'Приложение '!G18</f>
        <v>2021 г.</v>
      </c>
      <c r="L7" s="2700" t="str">
        <f>E7</f>
        <v>2015 г.</v>
      </c>
      <c r="M7" s="2701" t="str">
        <f t="shared" ref="M7:R7" si="0">F7</f>
        <v>2016 г.</v>
      </c>
      <c r="N7" s="2702" t="str">
        <f t="shared" si="0"/>
        <v>2017 г.</v>
      </c>
      <c r="O7" s="2702" t="str">
        <f t="shared" si="0"/>
        <v>2018 г.</v>
      </c>
      <c r="P7" s="2702" t="str">
        <f t="shared" si="0"/>
        <v>2019 г.</v>
      </c>
      <c r="Q7" s="2702" t="str">
        <f t="shared" si="0"/>
        <v>2020 г.</v>
      </c>
      <c r="R7" s="2704" t="str">
        <f t="shared" si="0"/>
        <v>2021 г.</v>
      </c>
      <c r="S7" s="2698" t="str">
        <f>L7</f>
        <v>2015 г.</v>
      </c>
      <c r="T7" s="2699" t="str">
        <f>R7</f>
        <v>2021 г.</v>
      </c>
    </row>
    <row r="8" spans="1:20" ht="38.25">
      <c r="A8" s="3320" t="s">
        <v>1124</v>
      </c>
      <c r="B8" s="713" t="s">
        <v>3</v>
      </c>
      <c r="C8" s="700" t="s">
        <v>1056</v>
      </c>
      <c r="D8" s="699" t="s">
        <v>1055</v>
      </c>
      <c r="E8" s="2711">
        <v>188061</v>
      </c>
      <c r="F8" s="1908">
        <v>188000</v>
      </c>
      <c r="G8" s="1909">
        <v>188000</v>
      </c>
      <c r="H8" s="1909">
        <v>188000</v>
      </c>
      <c r="I8" s="1909">
        <v>188000</v>
      </c>
      <c r="J8" s="1909">
        <v>185000</v>
      </c>
      <c r="K8" s="1909">
        <v>185000</v>
      </c>
      <c r="L8" s="734">
        <v>1</v>
      </c>
      <c r="M8" s="734">
        <v>1</v>
      </c>
      <c r="N8" s="734">
        <v>1</v>
      </c>
      <c r="O8" s="734">
        <v>1</v>
      </c>
      <c r="P8" s="734">
        <v>1</v>
      </c>
      <c r="Q8" s="734">
        <v>1</v>
      </c>
      <c r="R8" s="734">
        <v>1</v>
      </c>
      <c r="S8" s="1363" t="s">
        <v>1576</v>
      </c>
      <c r="T8" s="1364" t="s">
        <v>1576</v>
      </c>
    </row>
    <row r="9" spans="1:20" ht="38.25">
      <c r="A9" s="3321"/>
      <c r="B9" s="714" t="s">
        <v>40</v>
      </c>
      <c r="C9" s="701" t="s">
        <v>1090</v>
      </c>
      <c r="D9" s="689" t="s">
        <v>1055</v>
      </c>
      <c r="E9" s="2712">
        <v>106121</v>
      </c>
      <c r="F9" s="1912">
        <v>106121</v>
      </c>
      <c r="G9" s="1913">
        <v>106141</v>
      </c>
      <c r="H9" s="1914">
        <v>106165</v>
      </c>
      <c r="I9" s="1914">
        <v>106195</v>
      </c>
      <c r="J9" s="1914">
        <v>106245</v>
      </c>
      <c r="K9" s="1915">
        <v>106265</v>
      </c>
      <c r="L9" s="735">
        <v>2</v>
      </c>
      <c r="M9" s="730">
        <v>1</v>
      </c>
      <c r="N9" s="686">
        <v>1</v>
      </c>
      <c r="O9" s="686">
        <v>1</v>
      </c>
      <c r="P9" s="686">
        <v>1</v>
      </c>
      <c r="Q9" s="686">
        <v>1</v>
      </c>
      <c r="R9" s="693">
        <v>1</v>
      </c>
      <c r="S9" s="686" t="s">
        <v>1610</v>
      </c>
      <c r="T9" s="686" t="s">
        <v>1610</v>
      </c>
    </row>
    <row r="10" spans="1:20" ht="39" thickBot="1">
      <c r="A10" s="3321"/>
      <c r="B10" s="714" t="s">
        <v>41</v>
      </c>
      <c r="C10" s="701" t="s">
        <v>1091</v>
      </c>
      <c r="D10" s="689" t="s">
        <v>1055</v>
      </c>
      <c r="E10" s="2713">
        <v>97659</v>
      </c>
      <c r="F10" s="1916">
        <v>97659</v>
      </c>
      <c r="G10" s="1914">
        <v>97679</v>
      </c>
      <c r="H10" s="1914">
        <v>97699</v>
      </c>
      <c r="I10" s="1914">
        <v>97729</v>
      </c>
      <c r="J10" s="1914">
        <v>97779</v>
      </c>
      <c r="K10" s="1915">
        <v>97799</v>
      </c>
      <c r="L10" s="735">
        <v>2</v>
      </c>
      <c r="M10" s="730">
        <v>1</v>
      </c>
      <c r="N10" s="686">
        <v>1</v>
      </c>
      <c r="O10" s="686">
        <v>1</v>
      </c>
      <c r="P10" s="686">
        <v>1</v>
      </c>
      <c r="Q10" s="686">
        <v>1</v>
      </c>
      <c r="R10" s="693">
        <v>1</v>
      </c>
      <c r="S10" s="686" t="s">
        <v>1610</v>
      </c>
      <c r="T10" s="686" t="s">
        <v>1610</v>
      </c>
    </row>
    <row r="11" spans="1:20" ht="33.75" customHeight="1" thickBot="1">
      <c r="A11" s="3322"/>
      <c r="B11" s="715" t="s">
        <v>7</v>
      </c>
      <c r="C11" s="702" t="s">
        <v>1057</v>
      </c>
      <c r="D11" s="690" t="s">
        <v>1055</v>
      </c>
      <c r="E11" s="2714">
        <v>188772</v>
      </c>
      <c r="F11" s="1917">
        <v>188500</v>
      </c>
      <c r="G11" s="1917">
        <v>188500</v>
      </c>
      <c r="H11" s="1917">
        <v>188500</v>
      </c>
      <c r="I11" s="1917">
        <v>188500</v>
      </c>
      <c r="J11" s="1917">
        <v>185500</v>
      </c>
      <c r="K11" s="1917">
        <v>185500</v>
      </c>
      <c r="L11" s="734">
        <v>1</v>
      </c>
      <c r="M11" s="734">
        <v>1</v>
      </c>
      <c r="N11" s="734">
        <v>1</v>
      </c>
      <c r="O11" s="734">
        <v>1</v>
      </c>
      <c r="P11" s="734">
        <v>1</v>
      </c>
      <c r="Q11" s="734">
        <v>1</v>
      </c>
      <c r="R11" s="734">
        <v>1</v>
      </c>
      <c r="S11" s="694" t="s">
        <v>1576</v>
      </c>
      <c r="T11" s="695" t="s">
        <v>1576</v>
      </c>
    </row>
    <row r="12" spans="1:20" ht="25.5">
      <c r="A12" s="3320" t="s">
        <v>1127</v>
      </c>
      <c r="B12" s="716" t="s">
        <v>39</v>
      </c>
      <c r="C12" s="703" t="s">
        <v>1089</v>
      </c>
      <c r="D12" s="699" t="s">
        <v>1055</v>
      </c>
      <c r="E12" s="2711">
        <v>80933</v>
      </c>
      <c r="F12" s="1908">
        <v>75558</v>
      </c>
      <c r="G12" s="1909">
        <v>78956</v>
      </c>
      <c r="H12" s="1910">
        <v>78956</v>
      </c>
      <c r="I12" s="1910">
        <v>78956</v>
      </c>
      <c r="J12" s="1910">
        <v>78800</v>
      </c>
      <c r="K12" s="1911">
        <v>78700</v>
      </c>
      <c r="L12" s="734">
        <v>1</v>
      </c>
      <c r="M12" s="734">
        <v>1</v>
      </c>
      <c r="N12" s="734">
        <v>1</v>
      </c>
      <c r="O12" s="734">
        <v>1</v>
      </c>
      <c r="P12" s="734">
        <v>1</v>
      </c>
      <c r="Q12" s="734">
        <v>1</v>
      </c>
      <c r="R12" s="734">
        <v>1</v>
      </c>
      <c r="S12" s="691" t="s">
        <v>1573</v>
      </c>
      <c r="T12" s="692" t="s">
        <v>1573</v>
      </c>
    </row>
    <row r="13" spans="1:20" ht="25.5">
      <c r="A13" s="3321"/>
      <c r="B13" s="717"/>
      <c r="C13" s="704" t="s">
        <v>1125</v>
      </c>
      <c r="D13" s="689" t="s">
        <v>1055</v>
      </c>
      <c r="E13" s="2712">
        <v>46866</v>
      </c>
      <c r="F13" s="1912">
        <v>46866</v>
      </c>
      <c r="G13" s="1913">
        <v>46886</v>
      </c>
      <c r="H13" s="1914">
        <v>46906</v>
      </c>
      <c r="I13" s="1914">
        <v>46936</v>
      </c>
      <c r="J13" s="1914">
        <v>46986</v>
      </c>
      <c r="K13" s="1915">
        <v>47006</v>
      </c>
      <c r="L13" s="735">
        <v>2</v>
      </c>
      <c r="M13" s="730">
        <v>1</v>
      </c>
      <c r="N13" s="686">
        <v>1</v>
      </c>
      <c r="O13" s="686">
        <v>1</v>
      </c>
      <c r="P13" s="686">
        <v>1</v>
      </c>
      <c r="Q13" s="686">
        <v>1</v>
      </c>
      <c r="R13" s="693">
        <v>1</v>
      </c>
      <c r="S13" s="686" t="s">
        <v>1610</v>
      </c>
      <c r="T13" s="686" t="s">
        <v>1610</v>
      </c>
    </row>
    <row r="14" spans="1:20" ht="26.25" thickBot="1">
      <c r="A14" s="3322"/>
      <c r="B14" s="715"/>
      <c r="C14" s="705" t="s">
        <v>1126</v>
      </c>
      <c r="D14" s="690" t="s">
        <v>1055</v>
      </c>
      <c r="E14" s="2714">
        <v>45310</v>
      </c>
      <c r="F14" s="1917">
        <v>45310</v>
      </c>
      <c r="G14" s="1918">
        <v>45330</v>
      </c>
      <c r="H14" s="1919">
        <v>45350</v>
      </c>
      <c r="I14" s="1919">
        <v>45380</v>
      </c>
      <c r="J14" s="1919">
        <v>45430</v>
      </c>
      <c r="K14" s="1920">
        <v>45450</v>
      </c>
      <c r="L14" s="736">
        <v>2</v>
      </c>
      <c r="M14" s="731">
        <v>1</v>
      </c>
      <c r="N14" s="694">
        <v>1</v>
      </c>
      <c r="O14" s="694">
        <v>1</v>
      </c>
      <c r="P14" s="694">
        <v>1</v>
      </c>
      <c r="Q14" s="694">
        <v>1</v>
      </c>
      <c r="R14" s="695">
        <v>1</v>
      </c>
      <c r="S14" s="686" t="s">
        <v>1610</v>
      </c>
      <c r="T14" s="686" t="s">
        <v>1610</v>
      </c>
    </row>
    <row r="15" spans="1:20" ht="40.5" customHeight="1">
      <c r="A15" s="3323" t="s">
        <v>1134</v>
      </c>
      <c r="B15" s="716"/>
      <c r="C15" s="703" t="s">
        <v>1130</v>
      </c>
      <c r="D15" s="699" t="s">
        <v>1055</v>
      </c>
      <c r="E15" s="2712">
        <v>118</v>
      </c>
      <c r="F15" s="1912">
        <v>118</v>
      </c>
      <c r="G15" s="1913">
        <v>118</v>
      </c>
      <c r="H15" s="1914">
        <v>118</v>
      </c>
      <c r="I15" s="1914">
        <v>118</v>
      </c>
      <c r="J15" s="1914">
        <v>118</v>
      </c>
      <c r="K15" s="1915">
        <v>118</v>
      </c>
      <c r="L15" s="734">
        <v>1</v>
      </c>
      <c r="M15" s="734">
        <v>1</v>
      </c>
      <c r="N15" s="734">
        <v>1</v>
      </c>
      <c r="O15" s="734">
        <v>1</v>
      </c>
      <c r="P15" s="734">
        <v>1</v>
      </c>
      <c r="Q15" s="734">
        <v>1</v>
      </c>
      <c r="R15" s="734">
        <v>1</v>
      </c>
      <c r="S15" s="691" t="s">
        <v>1576</v>
      </c>
      <c r="T15" s="692" t="s">
        <v>1576</v>
      </c>
    </row>
    <row r="16" spans="1:20" ht="38.25">
      <c r="A16" s="3324"/>
      <c r="B16" s="717"/>
      <c r="C16" s="704" t="s">
        <v>1131</v>
      </c>
      <c r="D16" s="689" t="s">
        <v>1055</v>
      </c>
      <c r="E16" s="2712">
        <v>6</v>
      </c>
      <c r="F16" s="1912">
        <v>6</v>
      </c>
      <c r="G16" s="1913">
        <v>6</v>
      </c>
      <c r="H16" s="1914">
        <v>6</v>
      </c>
      <c r="I16" s="1914">
        <v>6</v>
      </c>
      <c r="J16" s="1914">
        <v>6</v>
      </c>
      <c r="K16" s="1915">
        <v>6</v>
      </c>
      <c r="L16" s="735">
        <v>1</v>
      </c>
      <c r="M16" s="730">
        <v>1</v>
      </c>
      <c r="N16" s="686">
        <v>1</v>
      </c>
      <c r="O16" s="686">
        <v>1</v>
      </c>
      <c r="P16" s="686">
        <v>1</v>
      </c>
      <c r="Q16" s="686">
        <v>1</v>
      </c>
      <c r="R16" s="693">
        <v>1</v>
      </c>
      <c r="S16" s="686" t="s">
        <v>1611</v>
      </c>
      <c r="T16" s="686" t="s">
        <v>1611</v>
      </c>
    </row>
    <row r="17" spans="1:20" ht="39" thickBot="1">
      <c r="A17" s="3324"/>
      <c r="B17" s="717"/>
      <c r="C17" s="704" t="s">
        <v>1132</v>
      </c>
      <c r="D17" s="689" t="s">
        <v>1055</v>
      </c>
      <c r="E17" s="2712">
        <v>4</v>
      </c>
      <c r="F17" s="1912">
        <v>4</v>
      </c>
      <c r="G17" s="1913">
        <v>4</v>
      </c>
      <c r="H17" s="1914">
        <v>5</v>
      </c>
      <c r="I17" s="1914">
        <v>5</v>
      </c>
      <c r="J17" s="1914">
        <v>5</v>
      </c>
      <c r="K17" s="1915">
        <v>5</v>
      </c>
      <c r="L17" s="735">
        <v>1</v>
      </c>
      <c r="M17" s="730">
        <v>1</v>
      </c>
      <c r="N17" s="686">
        <v>1</v>
      </c>
      <c r="O17" s="686">
        <v>1</v>
      </c>
      <c r="P17" s="686">
        <v>1</v>
      </c>
      <c r="Q17" s="686">
        <v>1</v>
      </c>
      <c r="R17" s="693">
        <v>1</v>
      </c>
      <c r="S17" s="686" t="s">
        <v>1611</v>
      </c>
      <c r="T17" s="686" t="s">
        <v>1611</v>
      </c>
    </row>
    <row r="18" spans="1:20" ht="26.25" thickBot="1">
      <c r="A18" s="3325"/>
      <c r="B18" s="715"/>
      <c r="C18" s="705" t="s">
        <v>1133</v>
      </c>
      <c r="D18" s="690" t="s">
        <v>1055</v>
      </c>
      <c r="E18" s="2714">
        <v>120</v>
      </c>
      <c r="F18" s="1917">
        <v>120</v>
      </c>
      <c r="G18" s="1918">
        <v>120</v>
      </c>
      <c r="H18" s="1919">
        <v>120</v>
      </c>
      <c r="I18" s="1919">
        <v>120</v>
      </c>
      <c r="J18" s="1919">
        <v>120</v>
      </c>
      <c r="K18" s="1920">
        <v>120</v>
      </c>
      <c r="L18" s="734">
        <v>1</v>
      </c>
      <c r="M18" s="734">
        <v>1</v>
      </c>
      <c r="N18" s="734">
        <v>1</v>
      </c>
      <c r="O18" s="734">
        <v>1</v>
      </c>
      <c r="P18" s="734">
        <v>1</v>
      </c>
      <c r="Q18" s="734">
        <v>1</v>
      </c>
      <c r="R18" s="734">
        <v>1</v>
      </c>
      <c r="S18" s="694" t="s">
        <v>1576</v>
      </c>
      <c r="T18" s="695" t="s">
        <v>1576</v>
      </c>
    </row>
    <row r="19" spans="1:20" ht="13.5" thickBot="1">
      <c r="A19" s="3323" t="s">
        <v>1135</v>
      </c>
      <c r="B19" s="716"/>
      <c r="C19" s="703" t="s">
        <v>1408</v>
      </c>
      <c r="D19" s="699" t="s">
        <v>1055</v>
      </c>
      <c r="E19" s="2711">
        <v>180</v>
      </c>
      <c r="F19" s="1908">
        <v>180</v>
      </c>
      <c r="G19" s="1909">
        <v>180</v>
      </c>
      <c r="H19" s="1910">
        <v>180</v>
      </c>
      <c r="I19" s="1910">
        <v>180</v>
      </c>
      <c r="J19" s="1910">
        <v>180</v>
      </c>
      <c r="K19" s="1911">
        <v>180</v>
      </c>
      <c r="L19" s="734">
        <v>1</v>
      </c>
      <c r="M19" s="734">
        <v>1</v>
      </c>
      <c r="N19" s="734">
        <v>1</v>
      </c>
      <c r="O19" s="734">
        <v>1</v>
      </c>
      <c r="P19" s="734">
        <v>1</v>
      </c>
      <c r="Q19" s="734">
        <v>1</v>
      </c>
      <c r="R19" s="734">
        <v>1</v>
      </c>
      <c r="S19" s="691" t="s">
        <v>1577</v>
      </c>
      <c r="T19" s="692" t="s">
        <v>1577</v>
      </c>
    </row>
    <row r="20" spans="1:20" ht="16.5" customHeight="1" thickBot="1">
      <c r="A20" s="3324"/>
      <c r="B20" s="1423"/>
      <c r="C20" s="1424" t="s">
        <v>1136</v>
      </c>
      <c r="D20" s="688" t="s">
        <v>1055</v>
      </c>
      <c r="E20" s="2715">
        <v>0</v>
      </c>
      <c r="F20" s="2715">
        <v>0</v>
      </c>
      <c r="G20" s="2715">
        <v>0</v>
      </c>
      <c r="H20" s="2715">
        <v>0</v>
      </c>
      <c r="I20" s="2715">
        <v>0</v>
      </c>
      <c r="J20" s="2715">
        <v>0</v>
      </c>
      <c r="K20" s="2715">
        <v>0</v>
      </c>
      <c r="L20" s="734">
        <v>1</v>
      </c>
      <c r="M20" s="734">
        <v>1</v>
      </c>
      <c r="N20" s="734">
        <v>1</v>
      </c>
      <c r="O20" s="734">
        <v>1</v>
      </c>
      <c r="P20" s="734">
        <v>1</v>
      </c>
      <c r="Q20" s="734">
        <v>1</v>
      </c>
      <c r="R20" s="734">
        <v>1</v>
      </c>
      <c r="S20" s="1363" t="s">
        <v>1577</v>
      </c>
      <c r="T20" s="1364" t="s">
        <v>1577</v>
      </c>
    </row>
    <row r="21" spans="1:20" ht="16.5" customHeight="1" thickBot="1">
      <c r="A21" s="3324"/>
      <c r="B21" s="717"/>
      <c r="C21" s="704" t="s">
        <v>1137</v>
      </c>
      <c r="D21" s="689" t="s">
        <v>1055</v>
      </c>
      <c r="E21" s="2712">
        <v>252</v>
      </c>
      <c r="F21" s="2712">
        <v>252</v>
      </c>
      <c r="G21" s="2712">
        <v>252</v>
      </c>
      <c r="H21" s="2712">
        <v>252</v>
      </c>
      <c r="I21" s="2712">
        <v>252</v>
      </c>
      <c r="J21" s="2712">
        <v>252</v>
      </c>
      <c r="K21" s="2712">
        <v>252</v>
      </c>
      <c r="L21" s="734">
        <v>1</v>
      </c>
      <c r="M21" s="734">
        <v>1</v>
      </c>
      <c r="N21" s="734">
        <v>1</v>
      </c>
      <c r="O21" s="734">
        <v>1</v>
      </c>
      <c r="P21" s="734">
        <v>1</v>
      </c>
      <c r="Q21" s="734">
        <v>1</v>
      </c>
      <c r="R21" s="734">
        <v>1</v>
      </c>
      <c r="S21" s="686" t="s">
        <v>1577</v>
      </c>
      <c r="T21" s="693" t="s">
        <v>1577</v>
      </c>
    </row>
    <row r="22" spans="1:20" ht="16.5" customHeight="1" thickBot="1">
      <c r="A22" s="3324"/>
      <c r="B22" s="717"/>
      <c r="C22" s="704" t="s">
        <v>1138</v>
      </c>
      <c r="D22" s="689" t="s">
        <v>1055</v>
      </c>
      <c r="E22" s="2712">
        <v>134</v>
      </c>
      <c r="F22" s="1912">
        <v>134</v>
      </c>
      <c r="G22" s="1913">
        <v>134</v>
      </c>
      <c r="H22" s="1914">
        <v>134</v>
      </c>
      <c r="I22" s="1914">
        <v>134</v>
      </c>
      <c r="J22" s="1914">
        <v>134</v>
      </c>
      <c r="K22" s="1915">
        <v>134</v>
      </c>
      <c r="L22" s="734">
        <v>1</v>
      </c>
      <c r="M22" s="734">
        <v>1</v>
      </c>
      <c r="N22" s="734">
        <v>1</v>
      </c>
      <c r="O22" s="734">
        <v>1</v>
      </c>
      <c r="P22" s="734">
        <v>1</v>
      </c>
      <c r="Q22" s="734">
        <v>1</v>
      </c>
      <c r="R22" s="734">
        <v>1</v>
      </c>
      <c r="S22" s="686" t="s">
        <v>1577</v>
      </c>
      <c r="T22" s="693" t="s">
        <v>1577</v>
      </c>
    </row>
    <row r="23" spans="1:20" ht="39" thickBot="1">
      <c r="A23" s="3324"/>
      <c r="B23" s="714" t="s">
        <v>37</v>
      </c>
      <c r="C23" s="701" t="s">
        <v>1087</v>
      </c>
      <c r="D23" s="689" t="s">
        <v>1085</v>
      </c>
      <c r="E23" s="2713">
        <v>2834</v>
      </c>
      <c r="F23" s="2713">
        <v>2834</v>
      </c>
      <c r="G23" s="2713">
        <v>2834</v>
      </c>
      <c r="H23" s="2713">
        <v>2834</v>
      </c>
      <c r="I23" s="2713">
        <v>2834</v>
      </c>
      <c r="J23" s="2713">
        <v>2834</v>
      </c>
      <c r="K23" s="2713">
        <v>2834</v>
      </c>
      <c r="L23" s="734">
        <v>1</v>
      </c>
      <c r="M23" s="734">
        <v>1</v>
      </c>
      <c r="N23" s="734">
        <v>1</v>
      </c>
      <c r="O23" s="734">
        <v>1</v>
      </c>
      <c r="P23" s="734">
        <v>1</v>
      </c>
      <c r="Q23" s="734">
        <v>1</v>
      </c>
      <c r="R23" s="734">
        <v>1</v>
      </c>
      <c r="S23" s="686" t="s">
        <v>1577</v>
      </c>
      <c r="T23" s="693" t="s">
        <v>1577</v>
      </c>
    </row>
    <row r="24" spans="1:20" ht="64.5" thickBot="1">
      <c r="A24" s="3324"/>
      <c r="B24" s="717" t="s">
        <v>35</v>
      </c>
      <c r="C24" s="704" t="s">
        <v>1185</v>
      </c>
      <c r="D24" s="689" t="s">
        <v>1085</v>
      </c>
      <c r="E24" s="2713">
        <v>2851</v>
      </c>
      <c r="F24" s="1916">
        <v>2851</v>
      </c>
      <c r="G24" s="1914">
        <v>2851</v>
      </c>
      <c r="H24" s="1914">
        <v>2851</v>
      </c>
      <c r="I24" s="1914">
        <v>2851</v>
      </c>
      <c r="J24" s="1914">
        <v>2851</v>
      </c>
      <c r="K24" s="1914">
        <v>2851</v>
      </c>
      <c r="L24" s="734">
        <v>1</v>
      </c>
      <c r="M24" s="734">
        <v>1</v>
      </c>
      <c r="N24" s="734">
        <v>1</v>
      </c>
      <c r="O24" s="734">
        <v>1</v>
      </c>
      <c r="P24" s="734">
        <v>1</v>
      </c>
      <c r="Q24" s="734">
        <v>1</v>
      </c>
      <c r="R24" s="734">
        <v>1</v>
      </c>
      <c r="S24" s="686" t="s">
        <v>1577</v>
      </c>
      <c r="T24" s="693" t="s">
        <v>1577</v>
      </c>
    </row>
    <row r="25" spans="1:20" ht="19.5" customHeight="1">
      <c r="A25" s="3324"/>
      <c r="B25" s="714" t="s">
        <v>1012</v>
      </c>
      <c r="C25" s="706" t="s">
        <v>1088</v>
      </c>
      <c r="D25" s="689" t="s">
        <v>1055</v>
      </c>
      <c r="E25" s="2713">
        <v>124</v>
      </c>
      <c r="F25" s="2713">
        <v>124</v>
      </c>
      <c r="G25" s="2713">
        <v>124</v>
      </c>
      <c r="H25" s="2713">
        <v>124</v>
      </c>
      <c r="I25" s="2713">
        <v>124</v>
      </c>
      <c r="J25" s="2713">
        <v>124</v>
      </c>
      <c r="K25" s="2713">
        <v>124</v>
      </c>
      <c r="L25" s="734"/>
      <c r="M25" s="734"/>
      <c r="N25" s="734"/>
      <c r="O25" s="734"/>
      <c r="P25" s="734"/>
      <c r="Q25" s="734"/>
      <c r="R25" s="734"/>
      <c r="S25" s="686" t="s">
        <v>1573</v>
      </c>
      <c r="T25" s="693" t="s">
        <v>1573</v>
      </c>
    </row>
    <row r="26" spans="1:20" ht="17.25" customHeight="1">
      <c r="A26" s="3324"/>
      <c r="B26" s="717" t="s">
        <v>87</v>
      </c>
      <c r="C26" s="701" t="s">
        <v>1174</v>
      </c>
      <c r="D26" s="689" t="s">
        <v>1055</v>
      </c>
      <c r="E26" s="2713">
        <v>95640</v>
      </c>
      <c r="F26" s="1916">
        <v>95640</v>
      </c>
      <c r="G26" s="1921">
        <v>95640</v>
      </c>
      <c r="H26" s="1914">
        <v>95640</v>
      </c>
      <c r="I26" s="1914">
        <v>95640</v>
      </c>
      <c r="J26" s="1914">
        <v>95640</v>
      </c>
      <c r="K26" s="1922">
        <v>95640</v>
      </c>
      <c r="L26" s="735">
        <v>1</v>
      </c>
      <c r="M26" s="730">
        <v>1</v>
      </c>
      <c r="N26" s="686">
        <v>1</v>
      </c>
      <c r="O26" s="686">
        <v>1</v>
      </c>
      <c r="P26" s="686">
        <v>1</v>
      </c>
      <c r="Q26" s="686">
        <v>1</v>
      </c>
      <c r="R26" s="693">
        <v>1</v>
      </c>
      <c r="S26" s="686" t="s">
        <v>1577</v>
      </c>
      <c r="T26" s="693" t="s">
        <v>1577</v>
      </c>
    </row>
    <row r="27" spans="1:20" ht="21.75" customHeight="1">
      <c r="A27" s="3324"/>
      <c r="B27" s="718" t="s">
        <v>1118</v>
      </c>
      <c r="C27" s="701" t="s">
        <v>1119</v>
      </c>
      <c r="D27" s="689" t="s">
        <v>1055</v>
      </c>
      <c r="E27" s="2713">
        <v>95365</v>
      </c>
      <c r="F27" s="1916">
        <v>95465</v>
      </c>
      <c r="G27" s="1914">
        <v>95565</v>
      </c>
      <c r="H27" s="1914">
        <v>95640</v>
      </c>
      <c r="I27" s="1914">
        <v>95640</v>
      </c>
      <c r="J27" s="1914">
        <v>95640</v>
      </c>
      <c r="K27" s="1915">
        <v>95640</v>
      </c>
      <c r="L27" s="735">
        <v>1</v>
      </c>
      <c r="M27" s="730">
        <v>1</v>
      </c>
      <c r="N27" s="686">
        <v>1</v>
      </c>
      <c r="O27" s="686">
        <v>1</v>
      </c>
      <c r="P27" s="686">
        <v>1</v>
      </c>
      <c r="Q27" s="686">
        <v>1</v>
      </c>
      <c r="R27" s="693">
        <v>1</v>
      </c>
      <c r="S27" s="686" t="s">
        <v>1577</v>
      </c>
      <c r="T27" s="693" t="s">
        <v>1577</v>
      </c>
    </row>
    <row r="28" spans="1:20" ht="19.5" customHeight="1">
      <c r="A28" s="3324"/>
      <c r="B28" s="718" t="s">
        <v>89</v>
      </c>
      <c r="C28" s="701" t="s">
        <v>1173</v>
      </c>
      <c r="D28" s="689" t="s">
        <v>1055</v>
      </c>
      <c r="E28" s="2713">
        <v>8330</v>
      </c>
      <c r="F28" s="1916">
        <v>8220</v>
      </c>
      <c r="G28" s="1914">
        <v>12330</v>
      </c>
      <c r="H28" s="1914">
        <v>18350</v>
      </c>
      <c r="I28" s="1914">
        <v>22150</v>
      </c>
      <c r="J28" s="1914">
        <v>25450</v>
      </c>
      <c r="K28" s="1915">
        <v>30000</v>
      </c>
      <c r="L28" s="735">
        <v>1</v>
      </c>
      <c r="M28" s="730">
        <v>1</v>
      </c>
      <c r="N28" s="686">
        <v>1</v>
      </c>
      <c r="O28" s="686">
        <v>1</v>
      </c>
      <c r="P28" s="686">
        <v>1</v>
      </c>
      <c r="Q28" s="686">
        <v>1</v>
      </c>
      <c r="R28" s="693">
        <v>1</v>
      </c>
      <c r="S28" s="686" t="s">
        <v>1611</v>
      </c>
      <c r="T28" s="686" t="s">
        <v>1611</v>
      </c>
    </row>
    <row r="29" spans="1:20" ht="25.5" customHeight="1">
      <c r="A29" s="3324"/>
      <c r="B29" s="714" t="s">
        <v>46</v>
      </c>
      <c r="C29" s="701" t="s">
        <v>1098</v>
      </c>
      <c r="D29" s="689" t="s">
        <v>1097</v>
      </c>
      <c r="E29" s="2713">
        <v>270</v>
      </c>
      <c r="F29" s="1916">
        <v>280</v>
      </c>
      <c r="G29" s="1914">
        <v>270</v>
      </c>
      <c r="H29" s="1914">
        <v>280</v>
      </c>
      <c r="I29" s="1914">
        <v>280</v>
      </c>
      <c r="J29" s="1914">
        <v>280</v>
      </c>
      <c r="K29" s="1914">
        <v>280</v>
      </c>
      <c r="L29" s="735">
        <v>1</v>
      </c>
      <c r="M29" s="730">
        <v>1</v>
      </c>
      <c r="N29" s="686">
        <v>1</v>
      </c>
      <c r="O29" s="686">
        <v>1</v>
      </c>
      <c r="P29" s="686">
        <v>1</v>
      </c>
      <c r="Q29" s="686">
        <v>1</v>
      </c>
      <c r="R29" s="693">
        <v>1</v>
      </c>
      <c r="S29" s="686" t="s">
        <v>1611</v>
      </c>
      <c r="T29" s="686" t="s">
        <v>1611</v>
      </c>
    </row>
    <row r="30" spans="1:20" ht="23.25" customHeight="1">
      <c r="A30" s="3324"/>
      <c r="B30" s="717"/>
      <c r="C30" s="704" t="s">
        <v>1139</v>
      </c>
      <c r="D30" s="689" t="s">
        <v>1055</v>
      </c>
      <c r="E30" s="2712">
        <v>3</v>
      </c>
      <c r="F30" s="1912">
        <v>3</v>
      </c>
      <c r="G30" s="1913">
        <v>5</v>
      </c>
      <c r="H30" s="1914">
        <v>5</v>
      </c>
      <c r="I30" s="1914">
        <v>5</v>
      </c>
      <c r="J30" s="1914">
        <v>5</v>
      </c>
      <c r="K30" s="1915">
        <v>5</v>
      </c>
      <c r="L30" s="735">
        <v>1</v>
      </c>
      <c r="M30" s="730">
        <v>1</v>
      </c>
      <c r="N30" s="686">
        <v>1</v>
      </c>
      <c r="O30" s="686">
        <v>1</v>
      </c>
      <c r="P30" s="686">
        <v>1</v>
      </c>
      <c r="Q30" s="686">
        <v>1</v>
      </c>
      <c r="R30" s="693">
        <v>1</v>
      </c>
      <c r="S30" s="686" t="s">
        <v>1611</v>
      </c>
      <c r="T30" s="686" t="s">
        <v>1611</v>
      </c>
    </row>
    <row r="31" spans="1:20" ht="24" customHeight="1" thickBot="1">
      <c r="A31" s="3325"/>
      <c r="B31" s="715"/>
      <c r="C31" s="705" t="s">
        <v>1140</v>
      </c>
      <c r="D31" s="690" t="s">
        <v>1055</v>
      </c>
      <c r="E31" s="2714">
        <v>4</v>
      </c>
      <c r="F31" s="1917">
        <v>4</v>
      </c>
      <c r="G31" s="1918">
        <v>4</v>
      </c>
      <c r="H31" s="1919">
        <v>5</v>
      </c>
      <c r="I31" s="1919">
        <v>5</v>
      </c>
      <c r="J31" s="1919">
        <v>5</v>
      </c>
      <c r="K31" s="1920">
        <v>5</v>
      </c>
      <c r="L31" s="736">
        <v>1</v>
      </c>
      <c r="M31" s="731">
        <v>1</v>
      </c>
      <c r="N31" s="694">
        <v>1</v>
      </c>
      <c r="O31" s="694">
        <v>1</v>
      </c>
      <c r="P31" s="694">
        <v>1</v>
      </c>
      <c r="Q31" s="694">
        <v>1</v>
      </c>
      <c r="R31" s="695">
        <v>1</v>
      </c>
      <c r="S31" s="686" t="s">
        <v>1611</v>
      </c>
      <c r="T31" s="686" t="s">
        <v>1611</v>
      </c>
    </row>
    <row r="32" spans="1:20" ht="54" customHeight="1">
      <c r="A32" s="3323" t="s">
        <v>1128</v>
      </c>
      <c r="B32" s="719" t="s">
        <v>8</v>
      </c>
      <c r="C32" s="707" t="s">
        <v>1058</v>
      </c>
      <c r="D32" s="699" t="s">
        <v>1055</v>
      </c>
      <c r="E32" s="2716">
        <f>SUM(E33:E36)</f>
        <v>7100</v>
      </c>
      <c r="F32" s="2553">
        <f t="shared" ref="F32:K32" si="1">SUM(F33:F36)</f>
        <v>8471</v>
      </c>
      <c r="G32" s="2554">
        <f t="shared" si="1"/>
        <v>7102</v>
      </c>
      <c r="H32" s="2554">
        <f t="shared" si="1"/>
        <v>8468</v>
      </c>
      <c r="I32" s="2554">
        <f t="shared" si="1"/>
        <v>7125</v>
      </c>
      <c r="J32" s="2554">
        <f t="shared" si="1"/>
        <v>8468</v>
      </c>
      <c r="K32" s="2555">
        <f t="shared" si="1"/>
        <v>7103</v>
      </c>
      <c r="L32" s="737">
        <f>MAX(L33,L34,L35,L36)</f>
        <v>1</v>
      </c>
      <c r="M32" s="732">
        <f t="shared" ref="M32:R32" si="2">MAX(M33,M34,M35,M36)</f>
        <v>1</v>
      </c>
      <c r="N32" s="696">
        <f t="shared" si="2"/>
        <v>1</v>
      </c>
      <c r="O32" s="696">
        <f t="shared" si="2"/>
        <v>1</v>
      </c>
      <c r="P32" s="696">
        <f t="shared" si="2"/>
        <v>1</v>
      </c>
      <c r="Q32" s="696">
        <f t="shared" si="2"/>
        <v>1</v>
      </c>
      <c r="R32" s="697">
        <f t="shared" si="2"/>
        <v>1</v>
      </c>
      <c r="S32" s="3124" t="s">
        <v>1559</v>
      </c>
      <c r="T32" s="3124" t="s">
        <v>1559</v>
      </c>
    </row>
    <row r="33" spans="1:20" ht="38.25">
      <c r="A33" s="3324"/>
      <c r="B33" s="717" t="s">
        <v>9</v>
      </c>
      <c r="C33" s="704" t="s">
        <v>1059</v>
      </c>
      <c r="D33" s="689" t="s">
        <v>1055</v>
      </c>
      <c r="E33" s="2712">
        <v>3124</v>
      </c>
      <c r="F33" s="2712">
        <v>3736</v>
      </c>
      <c r="G33" s="2712">
        <v>3124</v>
      </c>
      <c r="H33" s="2712">
        <v>3736</v>
      </c>
      <c r="I33" s="2712">
        <v>3124</v>
      </c>
      <c r="J33" s="2712">
        <v>3736</v>
      </c>
      <c r="K33" s="2712">
        <v>3124</v>
      </c>
      <c r="L33" s="735">
        <v>1</v>
      </c>
      <c r="M33" s="730">
        <v>1</v>
      </c>
      <c r="N33" s="686">
        <v>1</v>
      </c>
      <c r="O33" s="686">
        <v>1</v>
      </c>
      <c r="P33" s="686">
        <v>1</v>
      </c>
      <c r="Q33" s="686">
        <v>1</v>
      </c>
      <c r="R33" s="693">
        <v>1</v>
      </c>
      <c r="S33" s="3124" t="s">
        <v>1559</v>
      </c>
      <c r="T33" s="3124" t="s">
        <v>1559</v>
      </c>
    </row>
    <row r="34" spans="1:20" ht="38.25">
      <c r="A34" s="3324"/>
      <c r="B34" s="717" t="s">
        <v>10</v>
      </c>
      <c r="C34" s="704" t="s">
        <v>1060</v>
      </c>
      <c r="D34" s="689" t="s">
        <v>1055</v>
      </c>
      <c r="E34" s="2712">
        <v>672</v>
      </c>
      <c r="F34" s="2712">
        <v>810</v>
      </c>
      <c r="G34" s="2712">
        <v>672</v>
      </c>
      <c r="H34" s="2712">
        <v>810</v>
      </c>
      <c r="I34" s="2712">
        <v>672</v>
      </c>
      <c r="J34" s="2712">
        <v>810</v>
      </c>
      <c r="K34" s="2712">
        <v>672</v>
      </c>
      <c r="L34" s="735">
        <v>1</v>
      </c>
      <c r="M34" s="730">
        <v>1</v>
      </c>
      <c r="N34" s="686">
        <v>1</v>
      </c>
      <c r="O34" s="686">
        <v>1</v>
      </c>
      <c r="P34" s="686">
        <v>1</v>
      </c>
      <c r="Q34" s="686">
        <v>1</v>
      </c>
      <c r="R34" s="693">
        <v>1</v>
      </c>
      <c r="S34" s="3124" t="s">
        <v>1559</v>
      </c>
      <c r="T34" s="3124" t="s">
        <v>1559</v>
      </c>
    </row>
    <row r="35" spans="1:20" ht="38.25">
      <c r="A35" s="3324"/>
      <c r="B35" s="717" t="s">
        <v>11</v>
      </c>
      <c r="C35" s="704" t="s">
        <v>1061</v>
      </c>
      <c r="D35" s="689" t="s">
        <v>1055</v>
      </c>
      <c r="E35" s="2712">
        <v>3304</v>
      </c>
      <c r="F35" s="2712">
        <v>3922</v>
      </c>
      <c r="G35" s="2712">
        <v>3304</v>
      </c>
      <c r="H35" s="2712">
        <v>3922</v>
      </c>
      <c r="I35" s="2712">
        <v>3304</v>
      </c>
      <c r="J35" s="2712">
        <v>3922</v>
      </c>
      <c r="K35" s="2712">
        <v>3304</v>
      </c>
      <c r="L35" s="735">
        <v>1</v>
      </c>
      <c r="M35" s="730">
        <v>1</v>
      </c>
      <c r="N35" s="686">
        <v>1</v>
      </c>
      <c r="O35" s="686">
        <v>1</v>
      </c>
      <c r="P35" s="686">
        <v>1</v>
      </c>
      <c r="Q35" s="686">
        <v>1</v>
      </c>
      <c r="R35" s="693">
        <v>1</v>
      </c>
      <c r="S35" s="3124" t="s">
        <v>1559</v>
      </c>
      <c r="T35" s="3124" t="s">
        <v>1559</v>
      </c>
    </row>
    <row r="36" spans="1:20" ht="33.75">
      <c r="A36" s="3324"/>
      <c r="B36" s="717" t="s">
        <v>12</v>
      </c>
      <c r="C36" s="704" t="s">
        <v>1062</v>
      </c>
      <c r="D36" s="689" t="s">
        <v>1055</v>
      </c>
      <c r="E36" s="2712">
        <v>0</v>
      </c>
      <c r="F36" s="1912">
        <v>3</v>
      </c>
      <c r="G36" s="1913">
        <v>2</v>
      </c>
      <c r="H36" s="1914">
        <v>0</v>
      </c>
      <c r="I36" s="1914">
        <v>25</v>
      </c>
      <c r="J36" s="1914">
        <v>0</v>
      </c>
      <c r="K36" s="1915">
        <v>3</v>
      </c>
      <c r="L36" s="735">
        <v>1</v>
      </c>
      <c r="M36" s="730">
        <v>1</v>
      </c>
      <c r="N36" s="686">
        <v>1</v>
      </c>
      <c r="O36" s="686">
        <v>1</v>
      </c>
      <c r="P36" s="686">
        <v>1</v>
      </c>
      <c r="Q36" s="686">
        <v>1</v>
      </c>
      <c r="R36" s="693">
        <v>1</v>
      </c>
      <c r="S36" s="3124" t="s">
        <v>1559</v>
      </c>
      <c r="T36" s="3124" t="s">
        <v>1559</v>
      </c>
    </row>
    <row r="37" spans="1:20" ht="51">
      <c r="A37" s="3324"/>
      <c r="B37" s="720" t="s">
        <v>13</v>
      </c>
      <c r="C37" s="708" t="s">
        <v>1063</v>
      </c>
      <c r="D37" s="689" t="s">
        <v>1055</v>
      </c>
      <c r="E37" s="2717">
        <f>SUM(E38:E41)</f>
        <v>7100</v>
      </c>
      <c r="F37" s="2550">
        <f t="shared" ref="F37:K37" si="3">SUM(F38:F41)</f>
        <v>8471</v>
      </c>
      <c r="G37" s="2551">
        <f t="shared" si="3"/>
        <v>7102</v>
      </c>
      <c r="H37" s="2551">
        <f t="shared" si="3"/>
        <v>8468</v>
      </c>
      <c r="I37" s="2551">
        <f t="shared" si="3"/>
        <v>7125</v>
      </c>
      <c r="J37" s="2551">
        <f t="shared" si="3"/>
        <v>8468</v>
      </c>
      <c r="K37" s="2552">
        <f t="shared" si="3"/>
        <v>7103</v>
      </c>
      <c r="L37" s="125">
        <f>MAX(L38,L39,L40,L41)</f>
        <v>1</v>
      </c>
      <c r="M37" s="733">
        <f t="shared" ref="M37:R37" si="4">MAX(M38,M39,M40,M41)</f>
        <v>1</v>
      </c>
      <c r="N37" s="687">
        <f t="shared" si="4"/>
        <v>1</v>
      </c>
      <c r="O37" s="687">
        <f t="shared" si="4"/>
        <v>1</v>
      </c>
      <c r="P37" s="687">
        <f t="shared" si="4"/>
        <v>1</v>
      </c>
      <c r="Q37" s="687">
        <f t="shared" si="4"/>
        <v>1</v>
      </c>
      <c r="R37" s="698">
        <f t="shared" si="4"/>
        <v>1</v>
      </c>
      <c r="S37" s="3124" t="s">
        <v>1559</v>
      </c>
      <c r="T37" s="3124" t="s">
        <v>1559</v>
      </c>
    </row>
    <row r="38" spans="1:20" ht="33.75">
      <c r="A38" s="3324"/>
      <c r="B38" s="717" t="s">
        <v>14</v>
      </c>
      <c r="C38" s="704" t="s">
        <v>1064</v>
      </c>
      <c r="D38" s="689" t="s">
        <v>1055</v>
      </c>
      <c r="E38" s="2712">
        <v>3124</v>
      </c>
      <c r="F38" s="1912">
        <v>3736</v>
      </c>
      <c r="G38" s="2712">
        <v>3124</v>
      </c>
      <c r="H38" s="1912">
        <v>3736</v>
      </c>
      <c r="I38" s="2712">
        <v>3124</v>
      </c>
      <c r="J38" s="1912">
        <v>3736</v>
      </c>
      <c r="K38" s="2712">
        <v>3124</v>
      </c>
      <c r="L38" s="735">
        <v>1</v>
      </c>
      <c r="M38" s="730">
        <v>1</v>
      </c>
      <c r="N38" s="686">
        <v>1</v>
      </c>
      <c r="O38" s="686">
        <v>1</v>
      </c>
      <c r="P38" s="686">
        <v>1</v>
      </c>
      <c r="Q38" s="686">
        <v>1</v>
      </c>
      <c r="R38" s="693">
        <v>1</v>
      </c>
      <c r="S38" s="3124" t="s">
        <v>1559</v>
      </c>
      <c r="T38" s="3124" t="s">
        <v>1559</v>
      </c>
    </row>
    <row r="39" spans="1:20" ht="33.75">
      <c r="A39" s="3324"/>
      <c r="B39" s="717" t="s">
        <v>15</v>
      </c>
      <c r="C39" s="704" t="s">
        <v>1065</v>
      </c>
      <c r="D39" s="689" t="s">
        <v>1055</v>
      </c>
      <c r="E39" s="2712">
        <v>672</v>
      </c>
      <c r="F39" s="1912">
        <v>810</v>
      </c>
      <c r="G39" s="2712">
        <v>672</v>
      </c>
      <c r="H39" s="1912">
        <v>810</v>
      </c>
      <c r="I39" s="2712">
        <v>672</v>
      </c>
      <c r="J39" s="1912">
        <v>810</v>
      </c>
      <c r="K39" s="2712">
        <v>672</v>
      </c>
      <c r="L39" s="735">
        <v>1</v>
      </c>
      <c r="M39" s="730">
        <v>1</v>
      </c>
      <c r="N39" s="686">
        <v>1</v>
      </c>
      <c r="O39" s="686">
        <v>1</v>
      </c>
      <c r="P39" s="686">
        <v>1</v>
      </c>
      <c r="Q39" s="686">
        <v>1</v>
      </c>
      <c r="R39" s="693">
        <v>1</v>
      </c>
      <c r="S39" s="3124" t="s">
        <v>1559</v>
      </c>
      <c r="T39" s="3124" t="s">
        <v>1559</v>
      </c>
    </row>
    <row r="40" spans="1:20" ht="33.75">
      <c r="A40" s="3324"/>
      <c r="B40" s="717" t="s">
        <v>16</v>
      </c>
      <c r="C40" s="704" t="s">
        <v>1066</v>
      </c>
      <c r="D40" s="689" t="s">
        <v>1055</v>
      </c>
      <c r="E40" s="2712">
        <v>3304</v>
      </c>
      <c r="F40" s="1912">
        <v>3922</v>
      </c>
      <c r="G40" s="2712">
        <v>3304</v>
      </c>
      <c r="H40" s="1912">
        <v>3922</v>
      </c>
      <c r="I40" s="2712">
        <v>3304</v>
      </c>
      <c r="J40" s="1912">
        <v>3922</v>
      </c>
      <c r="K40" s="2712">
        <v>3304</v>
      </c>
      <c r="L40" s="735">
        <v>1</v>
      </c>
      <c r="M40" s="730">
        <v>1</v>
      </c>
      <c r="N40" s="686">
        <v>1</v>
      </c>
      <c r="O40" s="686">
        <v>1</v>
      </c>
      <c r="P40" s="686">
        <v>1</v>
      </c>
      <c r="Q40" s="686">
        <v>1</v>
      </c>
      <c r="R40" s="693">
        <v>1</v>
      </c>
      <c r="S40" s="3124" t="s">
        <v>1559</v>
      </c>
      <c r="T40" s="3124" t="s">
        <v>1559</v>
      </c>
    </row>
    <row r="41" spans="1:20" ht="34.5" thickBot="1">
      <c r="A41" s="3325"/>
      <c r="B41" s="715" t="s">
        <v>17</v>
      </c>
      <c r="C41" s="705" t="s">
        <v>1067</v>
      </c>
      <c r="D41" s="690" t="s">
        <v>1055</v>
      </c>
      <c r="E41" s="2714">
        <v>0</v>
      </c>
      <c r="F41" s="1917">
        <v>3</v>
      </c>
      <c r="G41" s="1918">
        <v>2</v>
      </c>
      <c r="H41" s="1919">
        <v>0</v>
      </c>
      <c r="I41" s="1919">
        <v>25</v>
      </c>
      <c r="J41" s="1919">
        <v>0</v>
      </c>
      <c r="K41" s="1920">
        <v>3</v>
      </c>
      <c r="L41" s="736">
        <v>1</v>
      </c>
      <c r="M41" s="731">
        <v>1</v>
      </c>
      <c r="N41" s="694">
        <v>1</v>
      </c>
      <c r="O41" s="694">
        <v>1</v>
      </c>
      <c r="P41" s="694">
        <v>1</v>
      </c>
      <c r="Q41" s="694">
        <v>1</v>
      </c>
      <c r="R41" s="695">
        <v>1</v>
      </c>
      <c r="S41" s="3124" t="s">
        <v>1559</v>
      </c>
      <c r="T41" s="3124" t="s">
        <v>1559</v>
      </c>
    </row>
    <row r="42" spans="1:20" ht="38.25">
      <c r="A42" s="3326" t="s">
        <v>1129</v>
      </c>
      <c r="B42" s="719" t="s">
        <v>18</v>
      </c>
      <c r="C42" s="707" t="s">
        <v>1068</v>
      </c>
      <c r="D42" s="699" t="s">
        <v>1055</v>
      </c>
      <c r="E42" s="2716">
        <f>SUM(E43:E46)</f>
        <v>26222</v>
      </c>
      <c r="F42" s="2553">
        <f t="shared" ref="F42:K42" si="5">SUM(F43:F46)</f>
        <v>22338</v>
      </c>
      <c r="G42" s="2554">
        <f t="shared" si="5"/>
        <v>25032</v>
      </c>
      <c r="H42" s="2554">
        <f t="shared" si="5"/>
        <v>22449</v>
      </c>
      <c r="I42" s="2554">
        <f t="shared" si="5"/>
        <v>25237</v>
      </c>
      <c r="J42" s="2554">
        <f t="shared" si="5"/>
        <v>22299</v>
      </c>
      <c r="K42" s="2555">
        <f t="shared" si="5"/>
        <v>25031</v>
      </c>
      <c r="L42" s="737">
        <f>MAX(L43,L44,L45,L46)</f>
        <v>1</v>
      </c>
      <c r="M42" s="732">
        <f t="shared" ref="M42:R42" si="6">MAX(M43,M44,M45,M46)</f>
        <v>1</v>
      </c>
      <c r="N42" s="696">
        <f t="shared" si="6"/>
        <v>1</v>
      </c>
      <c r="O42" s="696">
        <f t="shared" si="6"/>
        <v>1</v>
      </c>
      <c r="P42" s="696">
        <f t="shared" si="6"/>
        <v>1</v>
      </c>
      <c r="Q42" s="696">
        <f t="shared" si="6"/>
        <v>1</v>
      </c>
      <c r="R42" s="697">
        <f t="shared" si="6"/>
        <v>1</v>
      </c>
      <c r="S42" s="3124" t="s">
        <v>1559</v>
      </c>
      <c r="T42" s="3124" t="s">
        <v>1559</v>
      </c>
    </row>
    <row r="43" spans="1:20" ht="38.25">
      <c r="A43" s="3327"/>
      <c r="B43" s="717" t="s">
        <v>19</v>
      </c>
      <c r="C43" s="704" t="s">
        <v>1069</v>
      </c>
      <c r="D43" s="689" t="s">
        <v>1055</v>
      </c>
      <c r="E43" s="3125">
        <v>11341</v>
      </c>
      <c r="F43" s="1912">
        <v>9717</v>
      </c>
      <c r="G43" s="1913">
        <v>10777</v>
      </c>
      <c r="H43" s="1914">
        <v>9717</v>
      </c>
      <c r="I43" s="1914">
        <v>10777</v>
      </c>
      <c r="J43" s="1914">
        <v>9717</v>
      </c>
      <c r="K43" s="1915">
        <v>10777</v>
      </c>
      <c r="L43" s="735">
        <v>1</v>
      </c>
      <c r="M43" s="730">
        <v>1</v>
      </c>
      <c r="N43" s="686">
        <v>1</v>
      </c>
      <c r="O43" s="686">
        <v>1</v>
      </c>
      <c r="P43" s="686">
        <v>1</v>
      </c>
      <c r="Q43" s="686">
        <v>1</v>
      </c>
      <c r="R43" s="693">
        <v>1</v>
      </c>
      <c r="S43" s="3124" t="s">
        <v>1559</v>
      </c>
      <c r="T43" s="3124" t="s">
        <v>1559</v>
      </c>
    </row>
    <row r="44" spans="1:20" ht="33.75">
      <c r="A44" s="3327"/>
      <c r="B44" s="717" t="s">
        <v>20</v>
      </c>
      <c r="C44" s="704" t="s">
        <v>1070</v>
      </c>
      <c r="D44" s="689" t="s">
        <v>1055</v>
      </c>
      <c r="E44" s="3125">
        <v>2086</v>
      </c>
      <c r="F44" s="1912">
        <v>1800</v>
      </c>
      <c r="G44" s="1913">
        <v>2028</v>
      </c>
      <c r="H44" s="1914">
        <v>1800</v>
      </c>
      <c r="I44" s="1914">
        <v>2028</v>
      </c>
      <c r="J44" s="1914">
        <v>1800</v>
      </c>
      <c r="K44" s="1915">
        <v>2028</v>
      </c>
      <c r="L44" s="735">
        <v>1</v>
      </c>
      <c r="M44" s="730">
        <v>1</v>
      </c>
      <c r="N44" s="686">
        <v>1</v>
      </c>
      <c r="O44" s="686">
        <v>1</v>
      </c>
      <c r="P44" s="686">
        <v>1</v>
      </c>
      <c r="Q44" s="686">
        <v>1</v>
      </c>
      <c r="R44" s="693">
        <v>1</v>
      </c>
      <c r="S44" s="3124" t="s">
        <v>1559</v>
      </c>
      <c r="T44" s="3124" t="s">
        <v>1559</v>
      </c>
    </row>
    <row r="45" spans="1:20" ht="33.75">
      <c r="A45" s="3327"/>
      <c r="B45" s="717" t="s">
        <v>21</v>
      </c>
      <c r="C45" s="704" t="s">
        <v>1071</v>
      </c>
      <c r="D45" s="689" t="s">
        <v>1055</v>
      </c>
      <c r="E45" s="3125">
        <v>12795</v>
      </c>
      <c r="F45" s="1912">
        <v>10782</v>
      </c>
      <c r="G45" s="1913">
        <v>12187</v>
      </c>
      <c r="H45" s="1912">
        <v>10782</v>
      </c>
      <c r="I45" s="1914">
        <v>12187</v>
      </c>
      <c r="J45" s="1912">
        <v>10782</v>
      </c>
      <c r="K45" s="1915">
        <v>12187</v>
      </c>
      <c r="L45" s="735">
        <v>1</v>
      </c>
      <c r="M45" s="730">
        <v>1</v>
      </c>
      <c r="N45" s="686">
        <v>1</v>
      </c>
      <c r="O45" s="686">
        <v>1</v>
      </c>
      <c r="P45" s="686">
        <v>1</v>
      </c>
      <c r="Q45" s="686">
        <v>1</v>
      </c>
      <c r="R45" s="693">
        <v>1</v>
      </c>
      <c r="S45" s="3124" t="s">
        <v>1559</v>
      </c>
      <c r="T45" s="3124" t="s">
        <v>1559</v>
      </c>
    </row>
    <row r="46" spans="1:20" ht="33.75">
      <c r="A46" s="3327"/>
      <c r="B46" s="717" t="s">
        <v>22</v>
      </c>
      <c r="C46" s="704" t="s">
        <v>1072</v>
      </c>
      <c r="D46" s="689" t="s">
        <v>1055</v>
      </c>
      <c r="E46" s="3125">
        <v>0</v>
      </c>
      <c r="F46" s="1912">
        <v>39</v>
      </c>
      <c r="G46" s="1913">
        <v>40</v>
      </c>
      <c r="H46" s="1914">
        <v>150</v>
      </c>
      <c r="I46" s="1914">
        <v>245</v>
      </c>
      <c r="J46" s="1914">
        <v>0</v>
      </c>
      <c r="K46" s="1915">
        <v>39</v>
      </c>
      <c r="L46" s="735">
        <v>1</v>
      </c>
      <c r="M46" s="730">
        <v>1</v>
      </c>
      <c r="N46" s="686">
        <v>1</v>
      </c>
      <c r="O46" s="686">
        <v>1</v>
      </c>
      <c r="P46" s="686">
        <v>1</v>
      </c>
      <c r="Q46" s="686">
        <v>1</v>
      </c>
      <c r="R46" s="693">
        <v>1</v>
      </c>
      <c r="S46" s="3124" t="s">
        <v>1559</v>
      </c>
      <c r="T46" s="3124" t="s">
        <v>1559</v>
      </c>
    </row>
    <row r="47" spans="1:20" ht="38.25">
      <c r="A47" s="3327"/>
      <c r="B47" s="720" t="s">
        <v>23</v>
      </c>
      <c r="C47" s="708" t="s">
        <v>1073</v>
      </c>
      <c r="D47" s="689" t="s">
        <v>1055</v>
      </c>
      <c r="E47" s="2717">
        <f>SUM(E48:E51)</f>
        <v>26312</v>
      </c>
      <c r="F47" s="2550">
        <f t="shared" ref="F47:K47" si="7">SUM(F48:F51)</f>
        <v>23507</v>
      </c>
      <c r="G47" s="2551">
        <f t="shared" si="7"/>
        <v>26349</v>
      </c>
      <c r="H47" s="2551">
        <f t="shared" si="7"/>
        <v>23618</v>
      </c>
      <c r="I47" s="2551">
        <f t="shared" si="7"/>
        <v>26554</v>
      </c>
      <c r="J47" s="2551">
        <f t="shared" si="7"/>
        <v>23468</v>
      </c>
      <c r="K47" s="2552">
        <f t="shared" si="7"/>
        <v>26348</v>
      </c>
      <c r="L47" s="125">
        <f>MAX(L48,L49,L50,L51)</f>
        <v>1</v>
      </c>
      <c r="M47" s="733">
        <f t="shared" ref="M47:R47" si="8">MAX(M48,M49,M50,M51)</f>
        <v>1</v>
      </c>
      <c r="N47" s="687">
        <f t="shared" si="8"/>
        <v>1</v>
      </c>
      <c r="O47" s="687">
        <f t="shared" si="8"/>
        <v>1</v>
      </c>
      <c r="P47" s="687">
        <f t="shared" si="8"/>
        <v>1</v>
      </c>
      <c r="Q47" s="687">
        <f t="shared" si="8"/>
        <v>1</v>
      </c>
      <c r="R47" s="698">
        <f t="shared" si="8"/>
        <v>1</v>
      </c>
      <c r="S47" s="3124" t="s">
        <v>1559</v>
      </c>
      <c r="T47" s="3124" t="s">
        <v>1559</v>
      </c>
    </row>
    <row r="48" spans="1:20" ht="31.5" customHeight="1">
      <c r="A48" s="3327"/>
      <c r="B48" s="717" t="s">
        <v>24</v>
      </c>
      <c r="C48" s="704" t="s">
        <v>1074</v>
      </c>
      <c r="D48" s="689" t="s">
        <v>1055</v>
      </c>
      <c r="E48" s="3125">
        <v>11348</v>
      </c>
      <c r="F48" s="1912">
        <v>10228</v>
      </c>
      <c r="G48" s="3125">
        <v>11345</v>
      </c>
      <c r="H48" s="1912">
        <v>10228</v>
      </c>
      <c r="I48" s="3125">
        <v>11345</v>
      </c>
      <c r="J48" s="1912">
        <v>10228</v>
      </c>
      <c r="K48" s="3125">
        <v>11345</v>
      </c>
      <c r="L48" s="735">
        <v>1</v>
      </c>
      <c r="M48" s="730">
        <v>1</v>
      </c>
      <c r="N48" s="686">
        <v>1</v>
      </c>
      <c r="O48" s="686">
        <v>1</v>
      </c>
      <c r="P48" s="686">
        <v>1</v>
      </c>
      <c r="Q48" s="686">
        <v>1</v>
      </c>
      <c r="R48" s="693">
        <v>1</v>
      </c>
      <c r="S48" s="3124" t="s">
        <v>1559</v>
      </c>
      <c r="T48" s="3124" t="s">
        <v>1559</v>
      </c>
    </row>
    <row r="49" spans="1:20" ht="30" customHeight="1">
      <c r="A49" s="3327"/>
      <c r="B49" s="717" t="s">
        <v>25</v>
      </c>
      <c r="C49" s="704" t="s">
        <v>1075</v>
      </c>
      <c r="D49" s="689" t="s">
        <v>1055</v>
      </c>
      <c r="E49" s="3125">
        <v>2135</v>
      </c>
      <c r="F49" s="1912">
        <v>1894</v>
      </c>
      <c r="G49" s="3125">
        <v>2135</v>
      </c>
      <c r="H49" s="1912">
        <v>1894</v>
      </c>
      <c r="I49" s="3125">
        <v>2135</v>
      </c>
      <c r="J49" s="1912">
        <v>1894</v>
      </c>
      <c r="K49" s="3125">
        <v>2135</v>
      </c>
      <c r="L49" s="735">
        <v>1</v>
      </c>
      <c r="M49" s="730">
        <v>1</v>
      </c>
      <c r="N49" s="686">
        <v>1</v>
      </c>
      <c r="O49" s="686">
        <v>1</v>
      </c>
      <c r="P49" s="686">
        <v>1</v>
      </c>
      <c r="Q49" s="686">
        <v>1</v>
      </c>
      <c r="R49" s="693">
        <v>1</v>
      </c>
      <c r="S49" s="3124" t="s">
        <v>1559</v>
      </c>
      <c r="T49" s="3124" t="s">
        <v>1559</v>
      </c>
    </row>
    <row r="50" spans="1:20" ht="28.5" customHeight="1">
      <c r="A50" s="3327"/>
      <c r="B50" s="717" t="s">
        <v>26</v>
      </c>
      <c r="C50" s="704" t="s">
        <v>1076</v>
      </c>
      <c r="D50" s="689" t="s">
        <v>1055</v>
      </c>
      <c r="E50" s="3125">
        <v>12829</v>
      </c>
      <c r="F50" s="1912">
        <v>11346</v>
      </c>
      <c r="G50" s="3125">
        <v>12829</v>
      </c>
      <c r="H50" s="1912">
        <v>11346</v>
      </c>
      <c r="I50" s="3125">
        <v>12829</v>
      </c>
      <c r="J50" s="1912">
        <v>11346</v>
      </c>
      <c r="K50" s="3125">
        <v>12829</v>
      </c>
      <c r="L50" s="735">
        <v>1</v>
      </c>
      <c r="M50" s="730">
        <v>1</v>
      </c>
      <c r="N50" s="686">
        <v>1</v>
      </c>
      <c r="O50" s="686">
        <v>1</v>
      </c>
      <c r="P50" s="686">
        <v>1</v>
      </c>
      <c r="Q50" s="686">
        <v>1</v>
      </c>
      <c r="R50" s="693">
        <v>1</v>
      </c>
      <c r="S50" s="3124" t="s">
        <v>1559</v>
      </c>
      <c r="T50" s="3124" t="s">
        <v>1559</v>
      </c>
    </row>
    <row r="51" spans="1:20" ht="30" customHeight="1" thickBot="1">
      <c r="A51" s="3328"/>
      <c r="B51" s="715" t="s">
        <v>27</v>
      </c>
      <c r="C51" s="705" t="s">
        <v>1077</v>
      </c>
      <c r="D51" s="690" t="s">
        <v>1055</v>
      </c>
      <c r="E51" s="3126">
        <v>0</v>
      </c>
      <c r="F51" s="1917">
        <v>39</v>
      </c>
      <c r="G51" s="1918">
        <v>40</v>
      </c>
      <c r="H51" s="1919">
        <v>150</v>
      </c>
      <c r="I51" s="1919">
        <v>245</v>
      </c>
      <c r="J51" s="1919">
        <v>0</v>
      </c>
      <c r="K51" s="1920">
        <v>39</v>
      </c>
      <c r="L51" s="736">
        <v>1</v>
      </c>
      <c r="M51" s="731">
        <v>1</v>
      </c>
      <c r="N51" s="694">
        <v>1</v>
      </c>
      <c r="O51" s="694">
        <v>1</v>
      </c>
      <c r="P51" s="694">
        <v>1</v>
      </c>
      <c r="Q51" s="694">
        <v>1</v>
      </c>
      <c r="R51" s="695">
        <v>1</v>
      </c>
      <c r="S51" s="3124" t="s">
        <v>1559</v>
      </c>
      <c r="T51" s="3124" t="s">
        <v>1559</v>
      </c>
    </row>
    <row r="52" spans="1:20" ht="23.25" customHeight="1">
      <c r="A52" s="3323" t="s">
        <v>1175</v>
      </c>
      <c r="B52" s="716" t="s">
        <v>28</v>
      </c>
      <c r="C52" s="703" t="s">
        <v>1078</v>
      </c>
      <c r="D52" s="699" t="s">
        <v>1055</v>
      </c>
      <c r="E52" s="3127">
        <v>84</v>
      </c>
      <c r="F52" s="3127">
        <v>84</v>
      </c>
      <c r="G52" s="3127">
        <v>84</v>
      </c>
      <c r="H52" s="3127">
        <v>84</v>
      </c>
      <c r="I52" s="3127">
        <v>84</v>
      </c>
      <c r="J52" s="3127">
        <v>84</v>
      </c>
      <c r="K52" s="3127">
        <v>84</v>
      </c>
      <c r="L52" s="734">
        <v>1</v>
      </c>
      <c r="M52" s="729">
        <v>1</v>
      </c>
      <c r="N52" s="691">
        <v>1</v>
      </c>
      <c r="O52" s="691">
        <v>1</v>
      </c>
      <c r="P52" s="691">
        <v>1</v>
      </c>
      <c r="Q52" s="691">
        <v>1</v>
      </c>
      <c r="R52" s="692">
        <v>1</v>
      </c>
      <c r="S52" s="3124" t="s">
        <v>1559</v>
      </c>
      <c r="T52" s="3124" t="s">
        <v>1559</v>
      </c>
    </row>
    <row r="53" spans="1:20" ht="30" customHeight="1" thickBot="1">
      <c r="A53" s="3325"/>
      <c r="B53" s="715" t="s">
        <v>29</v>
      </c>
      <c r="C53" s="705" t="s">
        <v>1079</v>
      </c>
      <c r="D53" s="690" t="s">
        <v>1055</v>
      </c>
      <c r="E53" s="3127">
        <v>84</v>
      </c>
      <c r="F53" s="3127">
        <v>84</v>
      </c>
      <c r="G53" s="3127">
        <v>84</v>
      </c>
      <c r="H53" s="3127">
        <v>84</v>
      </c>
      <c r="I53" s="3127">
        <v>84</v>
      </c>
      <c r="J53" s="3127">
        <v>84</v>
      </c>
      <c r="K53" s="3127">
        <v>84</v>
      </c>
      <c r="L53" s="736">
        <v>1</v>
      </c>
      <c r="M53" s="731">
        <v>1</v>
      </c>
      <c r="N53" s="694">
        <v>1</v>
      </c>
      <c r="O53" s="694">
        <v>1</v>
      </c>
      <c r="P53" s="694">
        <v>1</v>
      </c>
      <c r="Q53" s="694">
        <v>1</v>
      </c>
      <c r="R53" s="695">
        <v>1</v>
      </c>
      <c r="S53" s="3124" t="s">
        <v>1559</v>
      </c>
      <c r="T53" s="3124" t="s">
        <v>1559</v>
      </c>
    </row>
    <row r="54" spans="1:20" ht="33.75">
      <c r="A54" s="3323" t="s">
        <v>1142</v>
      </c>
      <c r="B54" s="713" t="s">
        <v>42</v>
      </c>
      <c r="C54" s="700" t="s">
        <v>1093</v>
      </c>
      <c r="D54" s="699" t="s">
        <v>1055</v>
      </c>
      <c r="E54" s="2711">
        <v>0</v>
      </c>
      <c r="F54" s="1908">
        <v>0</v>
      </c>
      <c r="G54" s="1909">
        <v>0</v>
      </c>
      <c r="H54" s="1910">
        <v>0</v>
      </c>
      <c r="I54" s="1910">
        <v>0</v>
      </c>
      <c r="J54" s="1910">
        <v>0</v>
      </c>
      <c r="K54" s="1911">
        <v>0</v>
      </c>
      <c r="L54" s="734">
        <v>1</v>
      </c>
      <c r="M54" s="729">
        <v>1</v>
      </c>
      <c r="N54" s="691">
        <v>1</v>
      </c>
      <c r="O54" s="691">
        <v>1</v>
      </c>
      <c r="P54" s="691">
        <v>1</v>
      </c>
      <c r="Q54" s="691">
        <v>1</v>
      </c>
      <c r="R54" s="692">
        <v>1</v>
      </c>
      <c r="S54" s="3124" t="s">
        <v>1559</v>
      </c>
      <c r="T54" s="3124" t="s">
        <v>1559</v>
      </c>
    </row>
    <row r="55" spans="1:20" ht="34.5" thickBot="1">
      <c r="A55" s="3325"/>
      <c r="B55" s="721" t="s">
        <v>478</v>
      </c>
      <c r="C55" s="702" t="s">
        <v>1092</v>
      </c>
      <c r="D55" s="690" t="s">
        <v>1055</v>
      </c>
      <c r="E55" s="2714">
        <v>0</v>
      </c>
      <c r="F55" s="1917">
        <v>0</v>
      </c>
      <c r="G55" s="1918">
        <v>0</v>
      </c>
      <c r="H55" s="1919">
        <v>0</v>
      </c>
      <c r="I55" s="1919">
        <v>0</v>
      </c>
      <c r="J55" s="1919">
        <v>0</v>
      </c>
      <c r="K55" s="1920">
        <v>0</v>
      </c>
      <c r="L55" s="736">
        <v>1</v>
      </c>
      <c r="M55" s="731">
        <v>1</v>
      </c>
      <c r="N55" s="694">
        <v>1</v>
      </c>
      <c r="O55" s="694">
        <v>1</v>
      </c>
      <c r="P55" s="694">
        <v>1</v>
      </c>
      <c r="Q55" s="694">
        <v>1</v>
      </c>
      <c r="R55" s="695">
        <v>1</v>
      </c>
      <c r="S55" s="3124" t="s">
        <v>1559</v>
      </c>
      <c r="T55" s="3124" t="s">
        <v>1559</v>
      </c>
    </row>
    <row r="56" spans="1:20" ht="39" thickBot="1">
      <c r="A56" s="3323" t="s">
        <v>1141</v>
      </c>
      <c r="B56" s="716" t="s">
        <v>30</v>
      </c>
      <c r="C56" s="703" t="s">
        <v>1080</v>
      </c>
      <c r="D56" s="699" t="s">
        <v>1081</v>
      </c>
      <c r="E56" s="2718">
        <v>0</v>
      </c>
      <c r="F56" s="2718">
        <v>0</v>
      </c>
      <c r="G56" s="2718">
        <v>0</v>
      </c>
      <c r="H56" s="2718">
        <v>0</v>
      </c>
      <c r="I56" s="2718">
        <v>0</v>
      </c>
      <c r="J56" s="2718">
        <v>0</v>
      </c>
      <c r="K56" s="2718">
        <v>0</v>
      </c>
      <c r="L56" s="734">
        <v>1</v>
      </c>
      <c r="M56" s="734">
        <v>1</v>
      </c>
      <c r="N56" s="734">
        <v>1</v>
      </c>
      <c r="O56" s="734">
        <v>1</v>
      </c>
      <c r="P56" s="734">
        <v>1</v>
      </c>
      <c r="Q56" s="734">
        <v>1</v>
      </c>
      <c r="R56" s="734">
        <v>1</v>
      </c>
      <c r="S56" s="691" t="s">
        <v>1573</v>
      </c>
      <c r="T56" s="691" t="s">
        <v>1573</v>
      </c>
    </row>
    <row r="57" spans="1:20" ht="25.5">
      <c r="A57" s="3324"/>
      <c r="B57" s="714" t="s">
        <v>36</v>
      </c>
      <c r="C57" s="701" t="s">
        <v>1086</v>
      </c>
      <c r="D57" s="689" t="s">
        <v>1055</v>
      </c>
      <c r="E57" s="2713">
        <v>3235</v>
      </c>
      <c r="F57" s="1916">
        <v>3200</v>
      </c>
      <c r="G57" s="1914">
        <v>3913</v>
      </c>
      <c r="H57" s="1914">
        <v>3913</v>
      </c>
      <c r="I57" s="1914">
        <v>3913</v>
      </c>
      <c r="J57" s="1914">
        <v>3500</v>
      </c>
      <c r="K57" s="1915">
        <v>3500</v>
      </c>
      <c r="L57" s="734">
        <v>1</v>
      </c>
      <c r="M57" s="734">
        <v>1</v>
      </c>
      <c r="N57" s="734">
        <v>1</v>
      </c>
      <c r="O57" s="734">
        <v>1</v>
      </c>
      <c r="P57" s="734">
        <v>1</v>
      </c>
      <c r="Q57" s="734">
        <v>1</v>
      </c>
      <c r="R57" s="734">
        <v>1</v>
      </c>
      <c r="S57" s="691" t="s">
        <v>1573</v>
      </c>
      <c r="T57" s="691" t="s">
        <v>1573</v>
      </c>
    </row>
    <row r="58" spans="1:20" ht="25.5">
      <c r="A58" s="3324"/>
      <c r="B58" s="718" t="s">
        <v>43</v>
      </c>
      <c r="C58" s="704" t="s">
        <v>1094</v>
      </c>
      <c r="D58" s="689" t="s">
        <v>1055</v>
      </c>
      <c r="E58" s="2713">
        <v>136</v>
      </c>
      <c r="F58" s="1916">
        <v>155</v>
      </c>
      <c r="G58" s="1914">
        <v>145</v>
      </c>
      <c r="H58" s="1914">
        <v>128</v>
      </c>
      <c r="I58" s="1914">
        <v>125</v>
      </c>
      <c r="J58" s="1914">
        <v>123</v>
      </c>
      <c r="K58" s="1915">
        <v>115</v>
      </c>
      <c r="L58" s="735">
        <v>1</v>
      </c>
      <c r="M58" s="730">
        <v>1</v>
      </c>
      <c r="N58" s="686">
        <v>1</v>
      </c>
      <c r="O58" s="686">
        <v>1</v>
      </c>
      <c r="P58" s="686">
        <v>1</v>
      </c>
      <c r="Q58" s="686">
        <v>1</v>
      </c>
      <c r="R58" s="693">
        <v>1</v>
      </c>
      <c r="S58" s="686" t="s">
        <v>1611</v>
      </c>
      <c r="T58" s="686" t="s">
        <v>1611</v>
      </c>
    </row>
    <row r="59" spans="1:20" ht="25.5">
      <c r="A59" s="3324"/>
      <c r="B59" s="718" t="s">
        <v>44</v>
      </c>
      <c r="C59" s="704" t="s">
        <v>1096</v>
      </c>
      <c r="D59" s="689" t="s">
        <v>1055</v>
      </c>
      <c r="E59" s="2713">
        <v>165</v>
      </c>
      <c r="F59" s="1916">
        <v>245</v>
      </c>
      <c r="G59" s="1914">
        <v>160</v>
      </c>
      <c r="H59" s="1914">
        <v>166</v>
      </c>
      <c r="I59" s="1914">
        <v>120</v>
      </c>
      <c r="J59" s="1914">
        <v>118</v>
      </c>
      <c r="K59" s="1915">
        <v>120</v>
      </c>
      <c r="L59" s="735">
        <v>1</v>
      </c>
      <c r="M59" s="730">
        <v>1</v>
      </c>
      <c r="N59" s="686">
        <v>1</v>
      </c>
      <c r="O59" s="686">
        <v>1</v>
      </c>
      <c r="P59" s="686">
        <v>1</v>
      </c>
      <c r="Q59" s="686">
        <v>1</v>
      </c>
      <c r="R59" s="693">
        <v>1</v>
      </c>
      <c r="S59" s="686" t="s">
        <v>1611</v>
      </c>
      <c r="T59" s="686" t="s">
        <v>1611</v>
      </c>
    </row>
    <row r="60" spans="1:20" ht="26.25" thickBot="1">
      <c r="A60" s="3325"/>
      <c r="B60" s="722" t="s">
        <v>45</v>
      </c>
      <c r="C60" s="705" t="s">
        <v>1095</v>
      </c>
      <c r="D60" s="690" t="s">
        <v>1055</v>
      </c>
      <c r="E60" s="2719">
        <v>3</v>
      </c>
      <c r="F60" s="1924">
        <v>0</v>
      </c>
      <c r="G60" s="1919">
        <v>0</v>
      </c>
      <c r="H60" s="1919">
        <v>1</v>
      </c>
      <c r="I60" s="1919">
        <v>1</v>
      </c>
      <c r="J60" s="1919">
        <v>1</v>
      </c>
      <c r="K60" s="1920">
        <v>1</v>
      </c>
      <c r="L60" s="735">
        <v>1</v>
      </c>
      <c r="M60" s="730">
        <v>1</v>
      </c>
      <c r="N60" s="686">
        <v>1</v>
      </c>
      <c r="O60" s="686">
        <v>1</v>
      </c>
      <c r="P60" s="686">
        <v>1</v>
      </c>
      <c r="Q60" s="686">
        <v>1</v>
      </c>
      <c r="R60" s="693">
        <v>1</v>
      </c>
      <c r="S60" s="686" t="s">
        <v>1611</v>
      </c>
      <c r="T60" s="686" t="s">
        <v>1611</v>
      </c>
    </row>
    <row r="61" spans="1:20" ht="39" thickBot="1">
      <c r="A61" s="3323" t="s">
        <v>1146</v>
      </c>
      <c r="B61" s="716" t="s">
        <v>49</v>
      </c>
      <c r="C61" s="703" t="s">
        <v>1082</v>
      </c>
      <c r="D61" s="699" t="s">
        <v>1486</v>
      </c>
      <c r="E61" s="2720">
        <f>'4. Отчет и прогн. потребление'!D10</f>
        <v>22866940</v>
      </c>
      <c r="F61" s="2526">
        <f>'4. Отчет и прогн. потребление'!E10</f>
        <v>22005000</v>
      </c>
      <c r="G61" s="2527">
        <f>'4. Отчет и прогн. потребление'!F10</f>
        <v>23201365</v>
      </c>
      <c r="H61" s="2527">
        <f>'4. Отчет и прогн. потребление'!G10</f>
        <v>23201365</v>
      </c>
      <c r="I61" s="2527">
        <f>'4. Отчет и прогн. потребление'!H10</f>
        <v>23201365</v>
      </c>
      <c r="J61" s="2527">
        <f>'4. Отчет и прогн. потребление'!I10</f>
        <v>22000000</v>
      </c>
      <c r="K61" s="2528">
        <f>'4. Отчет и прогн. потребление'!J10</f>
        <v>20550000</v>
      </c>
      <c r="L61" s="735">
        <v>1</v>
      </c>
      <c r="M61" s="735">
        <v>1</v>
      </c>
      <c r="N61" s="735">
        <v>1</v>
      </c>
      <c r="O61" s="735">
        <v>1</v>
      </c>
      <c r="P61" s="735">
        <v>1</v>
      </c>
      <c r="Q61" s="735">
        <v>1</v>
      </c>
      <c r="R61" s="735">
        <v>1</v>
      </c>
      <c r="S61" s="691" t="s">
        <v>1573</v>
      </c>
      <c r="T61" s="691" t="s">
        <v>1573</v>
      </c>
    </row>
    <row r="62" spans="1:20" ht="42" customHeight="1" thickBot="1">
      <c r="A62" s="3324"/>
      <c r="B62" s="714" t="s">
        <v>1053</v>
      </c>
      <c r="C62" s="704" t="s">
        <v>1084</v>
      </c>
      <c r="D62" s="689" t="s">
        <v>1486</v>
      </c>
      <c r="E62" s="2721">
        <f>'4. Отчет и прогн. потребление'!D21</f>
        <v>7864819</v>
      </c>
      <c r="F62" s="2538">
        <f>'4. Отчет и прогн. потребление'!E21</f>
        <v>7734700</v>
      </c>
      <c r="G62" s="2539">
        <f>'4. Отчет и прогн. потребление'!F21</f>
        <v>8402805</v>
      </c>
      <c r="H62" s="2539">
        <f>'4. Отчет и прогн. потребление'!G21</f>
        <v>8402805</v>
      </c>
      <c r="I62" s="2539">
        <f>'4. Отчет и прогн. потребление'!H21</f>
        <v>8402805</v>
      </c>
      <c r="J62" s="2539">
        <f>'4. Отчет и прогн. потребление'!I21</f>
        <v>8155500</v>
      </c>
      <c r="K62" s="2540">
        <f>'4. Отчет и прогн. потребление'!J21</f>
        <v>7805000</v>
      </c>
      <c r="L62" s="735">
        <v>1</v>
      </c>
      <c r="M62" s="735">
        <v>1</v>
      </c>
      <c r="N62" s="735">
        <v>1</v>
      </c>
      <c r="O62" s="735">
        <v>1</v>
      </c>
      <c r="P62" s="735">
        <v>1</v>
      </c>
      <c r="Q62" s="735">
        <v>1</v>
      </c>
      <c r="R62" s="735">
        <v>1</v>
      </c>
      <c r="S62" s="691" t="s">
        <v>1573</v>
      </c>
      <c r="T62" s="691" t="s">
        <v>1573</v>
      </c>
    </row>
    <row r="63" spans="1:20" ht="45.75" customHeight="1" thickBot="1">
      <c r="A63" s="3324"/>
      <c r="B63" s="714" t="s">
        <v>1054</v>
      </c>
      <c r="C63" s="704" t="s">
        <v>1083</v>
      </c>
      <c r="D63" s="689" t="s">
        <v>1486</v>
      </c>
      <c r="E63" s="2722">
        <f>'4. Отчет и прогн. потребление'!D48</f>
        <v>15002121</v>
      </c>
      <c r="F63" s="2538">
        <f>'4. Отчет и прогн. потребление'!E48</f>
        <v>14270300</v>
      </c>
      <c r="G63" s="2539">
        <f>'4. Отчет и прогн. потребление'!F48</f>
        <v>14798560</v>
      </c>
      <c r="H63" s="2539">
        <f>'4. Отчет и прогн. потребление'!G48</f>
        <v>14798560</v>
      </c>
      <c r="I63" s="2539">
        <f>'4. Отчет и прогн. потребление'!H48</f>
        <v>14798560</v>
      </c>
      <c r="J63" s="2539">
        <f>'4. Отчет и прогн. потребление'!I48</f>
        <v>13844500</v>
      </c>
      <c r="K63" s="2540">
        <f>'4. Отчет и прогн. потребление'!J48</f>
        <v>12745000</v>
      </c>
      <c r="L63" s="735">
        <v>1</v>
      </c>
      <c r="M63" s="735">
        <v>1</v>
      </c>
      <c r="N63" s="735">
        <v>1</v>
      </c>
      <c r="O63" s="735">
        <v>1</v>
      </c>
      <c r="P63" s="735">
        <v>1</v>
      </c>
      <c r="Q63" s="735">
        <v>1</v>
      </c>
      <c r="R63" s="735">
        <v>1</v>
      </c>
      <c r="S63" s="691" t="s">
        <v>1573</v>
      </c>
      <c r="T63" s="691" t="s">
        <v>1573</v>
      </c>
    </row>
    <row r="64" spans="1:20" ht="26.25" thickBot="1">
      <c r="A64" s="3324"/>
      <c r="B64" s="1365" t="s">
        <v>51</v>
      </c>
      <c r="C64" s="1366" t="s">
        <v>1101</v>
      </c>
      <c r="D64" s="1367" t="s">
        <v>1486</v>
      </c>
      <c r="E64" s="2719">
        <v>17745562</v>
      </c>
      <c r="F64" s="1924">
        <v>19448400</v>
      </c>
      <c r="G64" s="1919">
        <v>19448400</v>
      </c>
      <c r="H64" s="1919">
        <v>20258400</v>
      </c>
      <c r="I64" s="1919">
        <v>20258400</v>
      </c>
      <c r="J64" s="1919">
        <v>20258400</v>
      </c>
      <c r="K64" s="1920">
        <v>20258400</v>
      </c>
      <c r="L64" s="735">
        <v>1</v>
      </c>
      <c r="M64" s="735">
        <v>1</v>
      </c>
      <c r="N64" s="735">
        <v>1</v>
      </c>
      <c r="O64" s="735">
        <v>1</v>
      </c>
      <c r="P64" s="735">
        <v>1</v>
      </c>
      <c r="Q64" s="735">
        <v>1</v>
      </c>
      <c r="R64" s="735">
        <v>1</v>
      </c>
      <c r="S64" s="691" t="s">
        <v>1573</v>
      </c>
      <c r="T64" s="691" t="s">
        <v>1573</v>
      </c>
    </row>
    <row r="65" spans="1:20">
      <c r="A65" s="3326" t="s">
        <v>1180</v>
      </c>
      <c r="B65" s="1370"/>
      <c r="C65" s="700" t="s">
        <v>1176</v>
      </c>
      <c r="D65" s="699" t="s">
        <v>1055</v>
      </c>
      <c r="E65" s="2718">
        <v>84</v>
      </c>
      <c r="F65" s="1923">
        <v>84</v>
      </c>
      <c r="G65" s="1910">
        <v>88</v>
      </c>
      <c r="H65" s="1910">
        <v>93</v>
      </c>
      <c r="I65" s="1910">
        <v>96</v>
      </c>
      <c r="J65" s="1910">
        <v>98</v>
      </c>
      <c r="K65" s="1911">
        <v>108</v>
      </c>
      <c r="L65" s="734">
        <v>1</v>
      </c>
      <c r="M65" s="729">
        <v>1</v>
      </c>
      <c r="N65" s="691">
        <v>1</v>
      </c>
      <c r="O65" s="691">
        <v>1</v>
      </c>
      <c r="P65" s="691">
        <v>1</v>
      </c>
      <c r="Q65" s="691">
        <v>1</v>
      </c>
      <c r="R65" s="1379">
        <v>1</v>
      </c>
      <c r="S65" s="735" t="s">
        <v>1573</v>
      </c>
      <c r="T65" s="735" t="s">
        <v>1573</v>
      </c>
    </row>
    <row r="66" spans="1:20" ht="25.5">
      <c r="A66" s="3327"/>
      <c r="B66" s="1371"/>
      <c r="C66" s="701" t="s">
        <v>1373</v>
      </c>
      <c r="D66" s="689" t="s">
        <v>226</v>
      </c>
      <c r="E66" s="2723">
        <v>0.47</v>
      </c>
      <c r="F66" s="1925">
        <v>0.47</v>
      </c>
      <c r="G66" s="1926">
        <v>0.49</v>
      </c>
      <c r="H66" s="1926">
        <v>0.52</v>
      </c>
      <c r="I66" s="1926">
        <v>0.54</v>
      </c>
      <c r="J66" s="1926">
        <v>0.55000000000000004</v>
      </c>
      <c r="K66" s="1927">
        <v>0.6</v>
      </c>
      <c r="L66" s="735">
        <v>1</v>
      </c>
      <c r="M66" s="730">
        <v>1</v>
      </c>
      <c r="N66" s="686">
        <v>1</v>
      </c>
      <c r="O66" s="686">
        <v>1</v>
      </c>
      <c r="P66" s="686">
        <v>1</v>
      </c>
      <c r="Q66" s="686">
        <v>1</v>
      </c>
      <c r="R66" s="1380">
        <v>1</v>
      </c>
      <c r="S66" s="735" t="s">
        <v>1573</v>
      </c>
      <c r="T66" s="735" t="s">
        <v>1573</v>
      </c>
    </row>
    <row r="67" spans="1:20" ht="51">
      <c r="A67" s="3327"/>
      <c r="B67" s="1371"/>
      <c r="C67" s="701" t="s">
        <v>1374</v>
      </c>
      <c r="D67" s="689" t="s">
        <v>226</v>
      </c>
      <c r="E67" s="2723">
        <v>0.37</v>
      </c>
      <c r="F67" s="1925">
        <v>0.43</v>
      </c>
      <c r="G67" s="1926">
        <v>0.45</v>
      </c>
      <c r="H67" s="1926">
        <v>0.44</v>
      </c>
      <c r="I67" s="1926">
        <v>0.44</v>
      </c>
      <c r="J67" s="1926">
        <v>0.45</v>
      </c>
      <c r="K67" s="1927">
        <v>0.4</v>
      </c>
      <c r="L67" s="735">
        <v>1</v>
      </c>
      <c r="M67" s="730">
        <v>1</v>
      </c>
      <c r="N67" s="686">
        <v>1</v>
      </c>
      <c r="O67" s="686">
        <v>1</v>
      </c>
      <c r="P67" s="686">
        <v>1</v>
      </c>
      <c r="Q67" s="686">
        <v>1</v>
      </c>
      <c r="R67" s="1380">
        <v>1</v>
      </c>
      <c r="S67" s="735" t="s">
        <v>1573</v>
      </c>
      <c r="T67" s="735" t="s">
        <v>1573</v>
      </c>
    </row>
    <row r="68" spans="1:20">
      <c r="A68" s="3327"/>
      <c r="B68" s="1371"/>
      <c r="C68" s="701" t="s">
        <v>1371</v>
      </c>
      <c r="D68" s="689" t="s">
        <v>226</v>
      </c>
      <c r="E68" s="2723">
        <v>0.16</v>
      </c>
      <c r="F68" s="1925">
        <v>0.1</v>
      </c>
      <c r="G68" s="1926">
        <v>0.06</v>
      </c>
      <c r="H68" s="1926">
        <v>0.04</v>
      </c>
      <c r="I68" s="1926">
        <v>0.02</v>
      </c>
      <c r="J68" s="1926">
        <v>0</v>
      </c>
      <c r="K68" s="1927">
        <v>0</v>
      </c>
      <c r="L68" s="735">
        <v>1</v>
      </c>
      <c r="M68" s="730">
        <v>1</v>
      </c>
      <c r="N68" s="686">
        <v>1</v>
      </c>
      <c r="O68" s="686">
        <v>1</v>
      </c>
      <c r="P68" s="686">
        <v>1</v>
      </c>
      <c r="Q68" s="686">
        <v>1</v>
      </c>
      <c r="R68" s="1380">
        <v>1</v>
      </c>
      <c r="S68" s="735" t="s">
        <v>1573</v>
      </c>
      <c r="T68" s="735" t="s">
        <v>1573</v>
      </c>
    </row>
    <row r="69" spans="1:20">
      <c r="A69" s="3327"/>
      <c r="B69" s="1372"/>
      <c r="C69" s="1373" t="s">
        <v>1372</v>
      </c>
      <c r="D69" s="1376" t="s">
        <v>226</v>
      </c>
      <c r="E69" s="2724">
        <f>SUM(E66:E68)</f>
        <v>1</v>
      </c>
      <c r="F69" s="2547">
        <f t="shared" ref="F69:K69" si="9">SUM(F66:F68)</f>
        <v>0.99999999999999989</v>
      </c>
      <c r="G69" s="2548">
        <f t="shared" si="9"/>
        <v>1</v>
      </c>
      <c r="H69" s="2548">
        <f t="shared" si="9"/>
        <v>1</v>
      </c>
      <c r="I69" s="2548">
        <f t="shared" si="9"/>
        <v>1</v>
      </c>
      <c r="J69" s="2548">
        <f t="shared" si="9"/>
        <v>1</v>
      </c>
      <c r="K69" s="2549">
        <f t="shared" si="9"/>
        <v>1</v>
      </c>
      <c r="L69" s="1378"/>
      <c r="M69" s="1377"/>
      <c r="N69" s="1369"/>
      <c r="O69" s="1369"/>
      <c r="P69" s="1369"/>
      <c r="Q69" s="1369"/>
      <c r="R69" s="1381"/>
      <c r="S69" s="1378"/>
      <c r="T69" s="1382"/>
    </row>
    <row r="70" spans="1:20" ht="25.5">
      <c r="A70" s="3327"/>
      <c r="B70" s="1371"/>
      <c r="C70" s="701" t="s">
        <v>1177</v>
      </c>
      <c r="D70" s="689" t="s">
        <v>1055</v>
      </c>
      <c r="E70" s="2713">
        <v>2343</v>
      </c>
      <c r="F70" s="1916">
        <v>2397</v>
      </c>
      <c r="G70" s="1914">
        <v>2417</v>
      </c>
      <c r="H70" s="1914">
        <v>2427</v>
      </c>
      <c r="I70" s="1914">
        <v>2437</v>
      </c>
      <c r="J70" s="1914">
        <v>2447</v>
      </c>
      <c r="K70" s="1915">
        <v>2457</v>
      </c>
      <c r="L70" s="735">
        <v>1</v>
      </c>
      <c r="M70" s="730">
        <v>1</v>
      </c>
      <c r="N70" s="686">
        <v>1</v>
      </c>
      <c r="O70" s="686">
        <v>1</v>
      </c>
      <c r="P70" s="686">
        <v>1</v>
      </c>
      <c r="Q70" s="686">
        <v>1</v>
      </c>
      <c r="R70" s="1380">
        <v>1</v>
      </c>
      <c r="S70" s="735" t="s">
        <v>1573</v>
      </c>
      <c r="T70" s="735" t="s">
        <v>1573</v>
      </c>
    </row>
    <row r="71" spans="1:20" ht="51">
      <c r="A71" s="3327"/>
      <c r="B71" s="1371" t="s">
        <v>1011</v>
      </c>
      <c r="C71" s="701" t="s">
        <v>1400</v>
      </c>
      <c r="D71" s="689" t="s">
        <v>1055</v>
      </c>
      <c r="E71" s="2713">
        <v>0</v>
      </c>
      <c r="F71" s="1916">
        <v>0</v>
      </c>
      <c r="G71" s="1914">
        <v>0</v>
      </c>
      <c r="H71" s="1914">
        <v>0</v>
      </c>
      <c r="I71" s="1914">
        <v>0</v>
      </c>
      <c r="J71" s="1914">
        <v>0</v>
      </c>
      <c r="K71" s="1915">
        <v>0</v>
      </c>
      <c r="L71" s="735">
        <v>1</v>
      </c>
      <c r="M71" s="730">
        <v>1</v>
      </c>
      <c r="N71" s="686">
        <v>1</v>
      </c>
      <c r="O71" s="686">
        <v>1</v>
      </c>
      <c r="P71" s="686">
        <v>1</v>
      </c>
      <c r="Q71" s="686">
        <v>1</v>
      </c>
      <c r="R71" s="1380">
        <v>1</v>
      </c>
      <c r="S71" s="735" t="s">
        <v>1573</v>
      </c>
      <c r="T71" s="735" t="s">
        <v>1573</v>
      </c>
    </row>
    <row r="72" spans="1:20" ht="38.25">
      <c r="A72" s="3327"/>
      <c r="B72" s="1374" t="s">
        <v>1114</v>
      </c>
      <c r="C72" s="701" t="s">
        <v>1122</v>
      </c>
      <c r="D72" s="689" t="s">
        <v>1055</v>
      </c>
      <c r="E72" s="2713">
        <v>7810</v>
      </c>
      <c r="F72" s="1916">
        <v>7999</v>
      </c>
      <c r="G72" s="1914">
        <v>8245</v>
      </c>
      <c r="H72" s="1914">
        <v>8499</v>
      </c>
      <c r="I72" s="1914">
        <v>8700</v>
      </c>
      <c r="J72" s="1914">
        <v>8826</v>
      </c>
      <c r="K72" s="1915">
        <v>9000</v>
      </c>
      <c r="L72" s="735">
        <v>1</v>
      </c>
      <c r="M72" s="730">
        <v>1</v>
      </c>
      <c r="N72" s="686">
        <v>1</v>
      </c>
      <c r="O72" s="686">
        <v>1</v>
      </c>
      <c r="P72" s="686">
        <v>1</v>
      </c>
      <c r="Q72" s="686">
        <v>1</v>
      </c>
      <c r="R72" s="1380">
        <v>1</v>
      </c>
      <c r="S72" s="735" t="s">
        <v>1573</v>
      </c>
      <c r="T72" s="735" t="s">
        <v>1573</v>
      </c>
    </row>
    <row r="73" spans="1:20" ht="26.25" thickBot="1">
      <c r="A73" s="3327"/>
      <c r="B73" s="1374" t="s">
        <v>1120</v>
      </c>
      <c r="C73" s="701" t="s">
        <v>1121</v>
      </c>
      <c r="D73" s="689" t="s">
        <v>1055</v>
      </c>
      <c r="E73" s="2713">
        <v>38480</v>
      </c>
      <c r="F73" s="1916">
        <v>46480</v>
      </c>
      <c r="G73" s="1914">
        <v>54725</v>
      </c>
      <c r="H73" s="1914">
        <v>63225</v>
      </c>
      <c r="I73" s="1914">
        <v>64041</v>
      </c>
      <c r="J73" s="1914">
        <v>64941</v>
      </c>
      <c r="K73" s="1915">
        <v>65941</v>
      </c>
      <c r="L73" s="735">
        <v>1</v>
      </c>
      <c r="M73" s="730">
        <v>1</v>
      </c>
      <c r="N73" s="686">
        <v>1</v>
      </c>
      <c r="O73" s="686">
        <v>1</v>
      </c>
      <c r="P73" s="686">
        <v>1</v>
      </c>
      <c r="Q73" s="686">
        <v>1</v>
      </c>
      <c r="R73" s="1380">
        <v>1</v>
      </c>
      <c r="S73" s="735" t="s">
        <v>1573</v>
      </c>
      <c r="T73" s="735" t="s">
        <v>1573</v>
      </c>
    </row>
    <row r="74" spans="1:20">
      <c r="A74" s="3327"/>
      <c r="B74" s="1374"/>
      <c r="C74" s="701" t="s">
        <v>1178</v>
      </c>
      <c r="D74" s="689" t="s">
        <v>1055</v>
      </c>
      <c r="E74" s="2713">
        <v>5</v>
      </c>
      <c r="F74" s="1916">
        <v>7</v>
      </c>
      <c r="G74" s="1914">
        <v>7</v>
      </c>
      <c r="H74" s="1914">
        <v>9</v>
      </c>
      <c r="I74" s="1914">
        <v>9</v>
      </c>
      <c r="J74" s="1914">
        <v>9</v>
      </c>
      <c r="K74" s="1915">
        <v>9</v>
      </c>
      <c r="L74" s="735">
        <v>1</v>
      </c>
      <c r="M74" s="730">
        <v>1</v>
      </c>
      <c r="N74" s="686">
        <v>1</v>
      </c>
      <c r="O74" s="686">
        <v>1</v>
      </c>
      <c r="P74" s="686">
        <v>1</v>
      </c>
      <c r="Q74" s="686">
        <v>1</v>
      </c>
      <c r="R74" s="1380">
        <v>1</v>
      </c>
      <c r="S74" s="734" t="s">
        <v>1612</v>
      </c>
      <c r="T74" s="734" t="s">
        <v>1612</v>
      </c>
    </row>
    <row r="75" spans="1:20" ht="13.5" thickBot="1">
      <c r="A75" s="3328"/>
      <c r="B75" s="1375"/>
      <c r="C75" s="709" t="s">
        <v>1179</v>
      </c>
      <c r="D75" s="2630" t="s">
        <v>1055</v>
      </c>
      <c r="E75" s="2719">
        <v>0</v>
      </c>
      <c r="F75" s="1924">
        <v>0</v>
      </c>
      <c r="G75" s="1919">
        <v>0</v>
      </c>
      <c r="H75" s="1919">
        <v>0</v>
      </c>
      <c r="I75" s="1919">
        <v>0</v>
      </c>
      <c r="J75" s="1919">
        <v>0</v>
      </c>
      <c r="K75" s="1920">
        <v>0</v>
      </c>
      <c r="L75" s="736">
        <v>1</v>
      </c>
      <c r="M75" s="736">
        <v>1</v>
      </c>
      <c r="N75" s="736">
        <v>1</v>
      </c>
      <c r="O75" s="736">
        <v>1</v>
      </c>
      <c r="P75" s="736">
        <v>1</v>
      </c>
      <c r="Q75" s="736">
        <v>1</v>
      </c>
      <c r="R75" s="736">
        <v>1</v>
      </c>
      <c r="S75" s="736" t="s">
        <v>1612</v>
      </c>
      <c r="T75" s="736" t="s">
        <v>1612</v>
      </c>
    </row>
    <row r="76" spans="1:20" ht="24.75" customHeight="1" thickBot="1">
      <c r="A76" s="3324" t="s">
        <v>1144</v>
      </c>
      <c r="B76" s="767" t="s">
        <v>54</v>
      </c>
      <c r="C76" s="3139" t="s">
        <v>1102</v>
      </c>
      <c r="D76" s="3140" t="s">
        <v>1085</v>
      </c>
      <c r="E76" s="3141">
        <v>58</v>
      </c>
      <c r="F76" s="3142">
        <v>55</v>
      </c>
      <c r="G76" s="3143">
        <v>56</v>
      </c>
      <c r="H76" s="3143">
        <v>55</v>
      </c>
      <c r="I76" s="3143">
        <v>53</v>
      </c>
      <c r="J76" s="3143">
        <v>52</v>
      </c>
      <c r="K76" s="3144">
        <v>50</v>
      </c>
      <c r="L76" s="736">
        <v>1</v>
      </c>
      <c r="M76" s="736">
        <v>1</v>
      </c>
      <c r="N76" s="736">
        <v>1</v>
      </c>
      <c r="O76" s="736">
        <v>1</v>
      </c>
      <c r="P76" s="736">
        <v>1</v>
      </c>
      <c r="Q76" s="736">
        <v>1</v>
      </c>
      <c r="R76" s="736">
        <v>1</v>
      </c>
      <c r="S76" s="1363" t="s">
        <v>1573</v>
      </c>
      <c r="T76" s="1363" t="s">
        <v>1573</v>
      </c>
    </row>
    <row r="77" spans="1:20" ht="51.75" thickBot="1">
      <c r="A77" s="3325"/>
      <c r="B77" s="721" t="s">
        <v>1112</v>
      </c>
      <c r="C77" s="702" t="s">
        <v>1143</v>
      </c>
      <c r="D77" s="690" t="s">
        <v>1085</v>
      </c>
      <c r="E77" s="2719">
        <v>110</v>
      </c>
      <c r="F77" s="1924">
        <v>100</v>
      </c>
      <c r="G77" s="1919">
        <v>90</v>
      </c>
      <c r="H77" s="1919">
        <v>80</v>
      </c>
      <c r="I77" s="1919">
        <v>70</v>
      </c>
      <c r="J77" s="1919">
        <v>60</v>
      </c>
      <c r="K77" s="1920">
        <v>35</v>
      </c>
      <c r="L77" s="736">
        <v>1</v>
      </c>
      <c r="M77" s="736">
        <v>1</v>
      </c>
      <c r="N77" s="736">
        <v>1</v>
      </c>
      <c r="O77" s="736">
        <v>1</v>
      </c>
      <c r="P77" s="736">
        <v>1</v>
      </c>
      <c r="Q77" s="736">
        <v>1</v>
      </c>
      <c r="R77" s="736">
        <v>1</v>
      </c>
      <c r="S77" s="1363" t="s">
        <v>1573</v>
      </c>
      <c r="T77" s="1363" t="s">
        <v>1573</v>
      </c>
    </row>
    <row r="78" spans="1:20" ht="26.25" thickBot="1">
      <c r="A78" s="3329" t="s">
        <v>1145</v>
      </c>
      <c r="B78" s="723" t="s">
        <v>48</v>
      </c>
      <c r="C78" s="700" t="s">
        <v>1099</v>
      </c>
      <c r="D78" s="699" t="s">
        <v>503</v>
      </c>
      <c r="E78" s="2725">
        <f>'6. Ел.Енергия'!C12</f>
        <v>11527797</v>
      </c>
      <c r="F78" s="2541">
        <f>'6. Ел.Енергия'!D12</f>
        <v>11361574</v>
      </c>
      <c r="G78" s="2542">
        <f>'6. Ел.Енергия'!E12</f>
        <v>11350000</v>
      </c>
      <c r="H78" s="2542">
        <f>'6. Ел.Енергия'!F12</f>
        <v>11350000</v>
      </c>
      <c r="I78" s="2542">
        <f>'6. Ел.Енергия'!G12</f>
        <v>11350000</v>
      </c>
      <c r="J78" s="2542">
        <f>'6. Ел.Енергия'!H12</f>
        <v>11350000</v>
      </c>
      <c r="K78" s="2543">
        <f>'6. Ел.Енергия'!I12</f>
        <v>11350000</v>
      </c>
      <c r="L78" s="736">
        <v>1</v>
      </c>
      <c r="M78" s="736">
        <v>1</v>
      </c>
      <c r="N78" s="736">
        <v>1</v>
      </c>
      <c r="O78" s="736">
        <v>1</v>
      </c>
      <c r="P78" s="736">
        <v>1</v>
      </c>
      <c r="Q78" s="736">
        <v>1</v>
      </c>
      <c r="R78" s="736">
        <v>1</v>
      </c>
      <c r="S78" s="1363" t="s">
        <v>1573</v>
      </c>
      <c r="T78" s="1363" t="s">
        <v>1573</v>
      </c>
    </row>
    <row r="79" spans="1:20" ht="26.25" thickBot="1">
      <c r="A79" s="3330"/>
      <c r="B79" s="724" t="s">
        <v>50</v>
      </c>
      <c r="C79" s="702" t="s">
        <v>1376</v>
      </c>
      <c r="D79" s="690" t="s">
        <v>503</v>
      </c>
      <c r="E79" s="2726">
        <f>'6. Ел.Енергия'!C37</f>
        <v>2649109</v>
      </c>
      <c r="F79" s="2544">
        <f>'6. Ел.Енергия'!D37</f>
        <v>2600000</v>
      </c>
      <c r="G79" s="2545">
        <f>'6. Ел.Енергия'!E37</f>
        <v>3000000</v>
      </c>
      <c r="H79" s="2545">
        <f>'6. Ел.Енергия'!F37</f>
        <v>3000000</v>
      </c>
      <c r="I79" s="2545">
        <f>'6. Ел.Енергия'!G37</f>
        <v>3000000</v>
      </c>
      <c r="J79" s="2545">
        <f>'6. Ел.Енергия'!H37</f>
        <v>3000000</v>
      </c>
      <c r="K79" s="2546">
        <f>'6. Ел.Енергия'!I37</f>
        <v>3000000</v>
      </c>
      <c r="L79" s="736">
        <v>1</v>
      </c>
      <c r="M79" s="736">
        <v>1</v>
      </c>
      <c r="N79" s="736">
        <v>1</v>
      </c>
      <c r="O79" s="736">
        <v>1</v>
      </c>
      <c r="P79" s="736">
        <v>1</v>
      </c>
      <c r="Q79" s="736">
        <v>1</v>
      </c>
      <c r="R79" s="736">
        <v>1</v>
      </c>
      <c r="S79" s="1363" t="s">
        <v>1573</v>
      </c>
      <c r="T79" s="1363" t="s">
        <v>1573</v>
      </c>
    </row>
    <row r="80" spans="1:20" ht="39" thickBot="1">
      <c r="A80" s="3329" t="s">
        <v>1147</v>
      </c>
      <c r="B80" s="713" t="s">
        <v>52</v>
      </c>
      <c r="C80" s="700" t="s">
        <v>1100</v>
      </c>
      <c r="D80" s="699" t="s">
        <v>805</v>
      </c>
      <c r="E80" s="2718">
        <v>50</v>
      </c>
      <c r="F80" s="2526">
        <f>'7. Утайки от ПСОВ'!D18+'7. Утайки от ПСОВ'!E17</f>
        <v>35</v>
      </c>
      <c r="G80" s="2527">
        <f>'7. Утайки от ПСОВ'!E18+'7. Утайки от ПСОВ'!F17</f>
        <v>322</v>
      </c>
      <c r="H80" s="2527">
        <f>'7. Утайки от ПСОВ'!F18+'7. Утайки от ПСОВ'!G17</f>
        <v>634</v>
      </c>
      <c r="I80" s="2527">
        <f>'7. Утайки от ПСОВ'!G18+'7. Утайки от ПСОВ'!H17</f>
        <v>634</v>
      </c>
      <c r="J80" s="2527">
        <f>'7. Утайки от ПСОВ'!H18+'7. Утайки от ПСОВ'!I17</f>
        <v>634</v>
      </c>
      <c r="K80" s="2528">
        <f>'7. Утайки от ПСОВ'!I18+'7. Утайки от ПСОВ'!J17</f>
        <v>634</v>
      </c>
      <c r="L80" s="734">
        <v>1</v>
      </c>
      <c r="M80" s="734">
        <v>1</v>
      </c>
      <c r="N80" s="734">
        <v>1</v>
      </c>
      <c r="O80" s="734">
        <v>1</v>
      </c>
      <c r="P80" s="734">
        <v>1</v>
      </c>
      <c r="Q80" s="734">
        <v>1</v>
      </c>
      <c r="R80" s="734">
        <v>1</v>
      </c>
      <c r="S80" s="736" t="s">
        <v>1612</v>
      </c>
      <c r="T80" s="736" t="s">
        <v>1612</v>
      </c>
    </row>
    <row r="81" spans="1:20" ht="39" thickBot="1">
      <c r="A81" s="3330"/>
      <c r="B81" s="721" t="s">
        <v>53</v>
      </c>
      <c r="C81" s="702" t="s">
        <v>1110</v>
      </c>
      <c r="D81" s="690" t="s">
        <v>805</v>
      </c>
      <c r="E81" s="2719">
        <v>50</v>
      </c>
      <c r="F81" s="2529">
        <f>'7. Утайки от ПСОВ'!D13</f>
        <v>122</v>
      </c>
      <c r="G81" s="2530">
        <f>'7. Утайки от ПСОВ'!E13</f>
        <v>322</v>
      </c>
      <c r="H81" s="2530">
        <f>'7. Утайки от ПСОВ'!F13</f>
        <v>634</v>
      </c>
      <c r="I81" s="2530">
        <f>'7. Утайки от ПСОВ'!G13</f>
        <v>634</v>
      </c>
      <c r="J81" s="2530">
        <f>'7. Утайки от ПСОВ'!H13</f>
        <v>634</v>
      </c>
      <c r="K81" s="2531">
        <f>'7. Утайки от ПСОВ'!I13</f>
        <v>634</v>
      </c>
      <c r="L81" s="734">
        <v>1</v>
      </c>
      <c r="M81" s="734">
        <v>1</v>
      </c>
      <c r="N81" s="734">
        <v>1</v>
      </c>
      <c r="O81" s="734">
        <v>1</v>
      </c>
      <c r="P81" s="734">
        <v>1</v>
      </c>
      <c r="Q81" s="734">
        <v>1</v>
      </c>
      <c r="R81" s="734">
        <v>1</v>
      </c>
      <c r="S81" s="736" t="s">
        <v>1612</v>
      </c>
      <c r="T81" s="736" t="s">
        <v>1612</v>
      </c>
    </row>
    <row r="82" spans="1:20" ht="26.25" thickBot="1">
      <c r="A82" s="3323" t="s">
        <v>1148</v>
      </c>
      <c r="B82" s="723" t="s">
        <v>56</v>
      </c>
      <c r="C82" s="3150" t="s">
        <v>1104</v>
      </c>
      <c r="D82" s="699" t="s">
        <v>1103</v>
      </c>
      <c r="E82" s="2713">
        <v>11106128</v>
      </c>
      <c r="F82" s="1914">
        <v>12779000</v>
      </c>
      <c r="G82" s="2527">
        <f>'16. Необходими приходи'!F11*1000</f>
        <v>14669203.777791036</v>
      </c>
      <c r="H82" s="2527">
        <f>'16. Необходими приходи'!G11*1000</f>
        <v>14869315.245488426</v>
      </c>
      <c r="I82" s="2527">
        <f>'16. Необходими приходи'!H11*1000</f>
        <v>14852047.239212712</v>
      </c>
      <c r="J82" s="2527">
        <f>'16. Необходими приходи'!I11*1000</f>
        <v>14763979.762272442</v>
      </c>
      <c r="K82" s="2527">
        <f>'16. Необходими приходи'!J11*1000</f>
        <v>15386322.248531472</v>
      </c>
      <c r="L82" s="734">
        <v>1</v>
      </c>
      <c r="M82" s="734">
        <v>1</v>
      </c>
      <c r="N82" s="734">
        <v>1</v>
      </c>
      <c r="O82" s="734">
        <v>1</v>
      </c>
      <c r="P82" s="734">
        <v>1</v>
      </c>
      <c r="Q82" s="734">
        <v>1</v>
      </c>
      <c r="R82" s="734">
        <v>1</v>
      </c>
      <c r="S82" s="691" t="s">
        <v>180</v>
      </c>
      <c r="T82" s="691" t="s">
        <v>180</v>
      </c>
    </row>
    <row r="83" spans="1:20" ht="26.25" thickBot="1">
      <c r="A83" s="3324"/>
      <c r="B83" s="725" t="s">
        <v>57</v>
      </c>
      <c r="C83" s="3151" t="s">
        <v>1105</v>
      </c>
      <c r="D83" s="689" t="s">
        <v>1103</v>
      </c>
      <c r="E83" s="2721">
        <f>'12. Разходи'!C84*1000</f>
        <v>11108000</v>
      </c>
      <c r="F83" s="2538">
        <f>'12. Разходи'!D84*1000</f>
        <v>11999532.518635321</v>
      </c>
      <c r="G83" s="2539">
        <f>'12. Разходи'!E84*1000</f>
        <v>13678099.121150676</v>
      </c>
      <c r="H83" s="2539">
        <f>'12. Разходи'!F84*1000</f>
        <v>13872025.582808863</v>
      </c>
      <c r="I83" s="2539">
        <f>'12. Разходи'!G84*1000</f>
        <v>13859315.312111041</v>
      </c>
      <c r="J83" s="2539">
        <f>'12. Разходи'!H84*1000</f>
        <v>13783459.376490869</v>
      </c>
      <c r="K83" s="2540">
        <f>'12. Разходи'!I84*1000</f>
        <v>14408127.778429551</v>
      </c>
      <c r="L83" s="734">
        <v>1</v>
      </c>
      <c r="M83" s="734">
        <v>1</v>
      </c>
      <c r="N83" s="734">
        <v>1</v>
      </c>
      <c r="O83" s="734">
        <v>1</v>
      </c>
      <c r="P83" s="734">
        <v>1</v>
      </c>
      <c r="Q83" s="734">
        <v>1</v>
      </c>
      <c r="R83" s="734">
        <v>1</v>
      </c>
      <c r="S83" s="691" t="s">
        <v>180</v>
      </c>
      <c r="T83" s="691" t="s">
        <v>180</v>
      </c>
    </row>
    <row r="84" spans="1:20" ht="26.25" thickBot="1">
      <c r="A84" s="3324"/>
      <c r="B84" s="718" t="s">
        <v>59</v>
      </c>
      <c r="C84" s="3151" t="s">
        <v>1106</v>
      </c>
      <c r="D84" s="689" t="s">
        <v>1103</v>
      </c>
      <c r="E84" s="2713">
        <v>863058</v>
      </c>
      <c r="F84" s="1916">
        <v>1032000</v>
      </c>
      <c r="G84" s="2539">
        <f>'16. Необходими приходи'!M11*1000</f>
        <v>1020427.7903527541</v>
      </c>
      <c r="H84" s="2539">
        <f>'16. Необходими приходи'!N11*1000</f>
        <v>1095310.1277562166</v>
      </c>
      <c r="I84" s="2539">
        <f>'16. Необходими приходи'!O11*1000</f>
        <v>1157773.652002241</v>
      </c>
      <c r="J84" s="2539">
        <f>'16. Необходими приходи'!P11*1000</f>
        <v>1137020.8029097111</v>
      </c>
      <c r="K84" s="2539">
        <f>'16. Необходими приходи'!Q11*1000</f>
        <v>1140239.2679442568</v>
      </c>
      <c r="L84" s="734">
        <v>1</v>
      </c>
      <c r="M84" s="734">
        <v>1</v>
      </c>
      <c r="N84" s="734">
        <v>1</v>
      </c>
      <c r="O84" s="734">
        <v>1</v>
      </c>
      <c r="P84" s="734">
        <v>1</v>
      </c>
      <c r="Q84" s="734">
        <v>1</v>
      </c>
      <c r="R84" s="734">
        <v>1</v>
      </c>
      <c r="S84" s="691" t="s">
        <v>180</v>
      </c>
      <c r="T84" s="691" t="s">
        <v>180</v>
      </c>
    </row>
    <row r="85" spans="1:20" ht="26.25" thickBot="1">
      <c r="A85" s="3324"/>
      <c r="B85" s="725" t="s">
        <v>60</v>
      </c>
      <c r="C85" s="3151" t="s">
        <v>1107</v>
      </c>
      <c r="D85" s="689" t="s">
        <v>1103</v>
      </c>
      <c r="E85" s="2721">
        <f>'12. Разходи'!J84*1000</f>
        <v>669000</v>
      </c>
      <c r="F85" s="2538">
        <f>'12. Разходи'!K84*1000</f>
        <v>747051.64134174306</v>
      </c>
      <c r="G85" s="2539">
        <f>'12. Разходи'!L84*1000</f>
        <v>807513.50969458872</v>
      </c>
      <c r="H85" s="2539">
        <f>'12. Разходи'!M84*1000</f>
        <v>891865.80610397446</v>
      </c>
      <c r="I85" s="2539">
        <f>'12. Разходи'!N84*1000</f>
        <v>967018.68404179078</v>
      </c>
      <c r="J85" s="2539">
        <f>'12. Разходи'!O84*1000</f>
        <v>960726.70868664351</v>
      </c>
      <c r="K85" s="2540">
        <f>'12. Разходи'!P84*1000</f>
        <v>979701.22468266764</v>
      </c>
      <c r="L85" s="734">
        <v>1</v>
      </c>
      <c r="M85" s="734">
        <v>1</v>
      </c>
      <c r="N85" s="734">
        <v>1</v>
      </c>
      <c r="O85" s="734">
        <v>1</v>
      </c>
      <c r="P85" s="734">
        <v>1</v>
      </c>
      <c r="Q85" s="734">
        <v>1</v>
      </c>
      <c r="R85" s="734">
        <v>1</v>
      </c>
      <c r="S85" s="691" t="s">
        <v>180</v>
      </c>
      <c r="T85" s="691" t="s">
        <v>180</v>
      </c>
    </row>
    <row r="86" spans="1:20" ht="26.25" thickBot="1">
      <c r="A86" s="3324"/>
      <c r="B86" s="718" t="s">
        <v>62</v>
      </c>
      <c r="C86" s="3151" t="s">
        <v>1108</v>
      </c>
      <c r="D86" s="689" t="s">
        <v>1103</v>
      </c>
      <c r="E86" s="2713">
        <v>1255053</v>
      </c>
      <c r="F86" s="1916">
        <v>1448000</v>
      </c>
      <c r="G86" s="2539">
        <f>'16. Необходими приходи'!T11*1000</f>
        <v>1331963.722244337</v>
      </c>
      <c r="H86" s="2539">
        <f>'16. Необходими приходи'!U11*1000</f>
        <v>1518047.0108421163</v>
      </c>
      <c r="I86" s="2539">
        <f>'16. Необходими приходи'!V11*1000</f>
        <v>1610783.9037850474</v>
      </c>
      <c r="J86" s="2539">
        <f>'16. Необходими приходи'!W11*1000</f>
        <v>1700670.8971237831</v>
      </c>
      <c r="K86" s="2539">
        <f>'16. Необходими приходи'!X11*1000</f>
        <v>1708511.0842320323</v>
      </c>
      <c r="L86" s="734">
        <v>1</v>
      </c>
      <c r="M86" s="734">
        <v>1</v>
      </c>
      <c r="N86" s="734">
        <v>1</v>
      </c>
      <c r="O86" s="734">
        <v>1</v>
      </c>
      <c r="P86" s="734">
        <v>1</v>
      </c>
      <c r="Q86" s="734">
        <v>1</v>
      </c>
      <c r="R86" s="734">
        <v>1</v>
      </c>
      <c r="S86" s="691" t="s">
        <v>180</v>
      </c>
      <c r="T86" s="691" t="s">
        <v>180</v>
      </c>
    </row>
    <row r="87" spans="1:20" ht="26.25" thickBot="1">
      <c r="A87" s="3324"/>
      <c r="B87" s="725" t="s">
        <v>63</v>
      </c>
      <c r="C87" s="3151" t="s">
        <v>1109</v>
      </c>
      <c r="D87" s="689" t="s">
        <v>1103</v>
      </c>
      <c r="E87" s="2721">
        <f>'12. Разходи'!Q84*1000</f>
        <v>820000</v>
      </c>
      <c r="F87" s="2538">
        <f>'12. Разходи'!R84*1000</f>
        <v>1104960.8400229358</v>
      </c>
      <c r="G87" s="2539">
        <f>'12. Разходи'!S84*1000</f>
        <v>1286507.3691547331</v>
      </c>
      <c r="H87" s="2539">
        <f>'12. Разходи'!T84*1000</f>
        <v>1429798.6110871627</v>
      </c>
      <c r="I87" s="2539">
        <f>'12. Разходи'!U84*1000</f>
        <v>1519906.0038471695</v>
      </c>
      <c r="J87" s="2539">
        <f>'12. Разходи'!V84*1000</f>
        <v>1609623.9148224888</v>
      </c>
      <c r="K87" s="2540">
        <f>'12. Разходи'!W84*1000</f>
        <v>1617360.996887781</v>
      </c>
      <c r="L87" s="734">
        <v>1</v>
      </c>
      <c r="M87" s="734">
        <v>1</v>
      </c>
      <c r="N87" s="734">
        <v>1</v>
      </c>
      <c r="O87" s="734">
        <v>1</v>
      </c>
      <c r="P87" s="734">
        <v>1</v>
      </c>
      <c r="Q87" s="734">
        <v>1</v>
      </c>
      <c r="R87" s="734">
        <v>1</v>
      </c>
      <c r="S87" s="691" t="s">
        <v>180</v>
      </c>
      <c r="T87" s="691" t="s">
        <v>180</v>
      </c>
    </row>
    <row r="88" spans="1:20" ht="26.25" thickBot="1">
      <c r="A88" s="3324"/>
      <c r="B88" s="725" t="s">
        <v>64</v>
      </c>
      <c r="C88" s="3151" t="s">
        <v>1115</v>
      </c>
      <c r="D88" s="689" t="s">
        <v>1113</v>
      </c>
      <c r="E88" s="2713">
        <v>15869087</v>
      </c>
      <c r="F88" s="1916">
        <v>18310800</v>
      </c>
      <c r="G88" s="1914">
        <v>20425915</v>
      </c>
      <c r="H88" s="1914">
        <v>20979206</v>
      </c>
      <c r="I88" s="1914">
        <v>21144726</v>
      </c>
      <c r="J88" s="1914">
        <v>21122006</v>
      </c>
      <c r="K88" s="1915">
        <v>21882086</v>
      </c>
      <c r="L88" s="734">
        <v>1</v>
      </c>
      <c r="M88" s="734">
        <v>1</v>
      </c>
      <c r="N88" s="734">
        <v>1</v>
      </c>
      <c r="O88" s="734">
        <v>1</v>
      </c>
      <c r="P88" s="734">
        <v>1</v>
      </c>
      <c r="Q88" s="734">
        <v>1</v>
      </c>
      <c r="R88" s="734">
        <v>1</v>
      </c>
      <c r="S88" s="691" t="s">
        <v>180</v>
      </c>
      <c r="T88" s="691" t="s">
        <v>180</v>
      </c>
    </row>
    <row r="89" spans="1:20" ht="27.75" customHeight="1" thickBot="1">
      <c r="A89" s="3324"/>
      <c r="B89" s="725" t="s">
        <v>65</v>
      </c>
      <c r="C89" s="3152" t="s">
        <v>1116</v>
      </c>
      <c r="D89" s="689" t="s">
        <v>1113</v>
      </c>
      <c r="E89" s="2713">
        <v>2667842</v>
      </c>
      <c r="F89" s="1916">
        <v>3133532</v>
      </c>
      <c r="G89" s="1914">
        <v>3334450</v>
      </c>
      <c r="H89" s="1914">
        <v>3195405</v>
      </c>
      <c r="I89" s="1914">
        <v>3196478</v>
      </c>
      <c r="J89" s="1914">
        <v>3191455</v>
      </c>
      <c r="K89" s="1915">
        <v>3287458</v>
      </c>
      <c r="L89" s="734">
        <v>1</v>
      </c>
      <c r="M89" s="734">
        <v>1</v>
      </c>
      <c r="N89" s="734">
        <v>1</v>
      </c>
      <c r="O89" s="734">
        <v>1</v>
      </c>
      <c r="P89" s="734">
        <v>1</v>
      </c>
      <c r="Q89" s="734">
        <v>1</v>
      </c>
      <c r="R89" s="734">
        <v>1</v>
      </c>
      <c r="S89" s="691" t="s">
        <v>180</v>
      </c>
      <c r="T89" s="691" t="s">
        <v>180</v>
      </c>
    </row>
    <row r="90" spans="1:20" ht="24.75" customHeight="1" thickBot="1">
      <c r="A90" s="3325"/>
      <c r="B90" s="722" t="s">
        <v>66</v>
      </c>
      <c r="C90" s="3153" t="s">
        <v>1117</v>
      </c>
      <c r="D90" s="690" t="s">
        <v>1113</v>
      </c>
      <c r="E90" s="2719">
        <v>2835998</v>
      </c>
      <c r="F90" s="1924">
        <v>2667842</v>
      </c>
      <c r="G90" s="1919">
        <v>3133532</v>
      </c>
      <c r="H90" s="1919">
        <v>3334450</v>
      </c>
      <c r="I90" s="1919">
        <v>3195405</v>
      </c>
      <c r="J90" s="1919">
        <v>3197490</v>
      </c>
      <c r="K90" s="1920">
        <v>3191455</v>
      </c>
      <c r="L90" s="734">
        <v>1</v>
      </c>
      <c r="M90" s="734">
        <v>1</v>
      </c>
      <c r="N90" s="734">
        <v>1</v>
      </c>
      <c r="O90" s="734">
        <v>1</v>
      </c>
      <c r="P90" s="734">
        <v>1</v>
      </c>
      <c r="Q90" s="734">
        <v>1</v>
      </c>
      <c r="R90" s="734">
        <v>1</v>
      </c>
      <c r="S90" s="691" t="s">
        <v>180</v>
      </c>
      <c r="T90" s="691" t="s">
        <v>180</v>
      </c>
    </row>
    <row r="91" spans="1:20" ht="26.25" customHeight="1" thickBot="1">
      <c r="A91" s="3323" t="s">
        <v>1150</v>
      </c>
      <c r="B91" s="726" t="s">
        <v>67</v>
      </c>
      <c r="C91" s="710" t="s">
        <v>1172</v>
      </c>
      <c r="D91" s="699" t="s">
        <v>1055</v>
      </c>
      <c r="E91" s="2727">
        <f>SUM(E92:E94)</f>
        <v>167</v>
      </c>
      <c r="F91" s="2535">
        <f t="shared" ref="F91:K91" si="10">SUM(F92:F94)</f>
        <v>160</v>
      </c>
      <c r="G91" s="2536">
        <f t="shared" si="10"/>
        <v>165</v>
      </c>
      <c r="H91" s="2536">
        <f t="shared" si="10"/>
        <v>160</v>
      </c>
      <c r="I91" s="2536">
        <f t="shared" si="10"/>
        <v>160</v>
      </c>
      <c r="J91" s="2536">
        <f t="shared" si="10"/>
        <v>160</v>
      </c>
      <c r="K91" s="2537">
        <f t="shared" si="10"/>
        <v>160</v>
      </c>
      <c r="L91" s="734">
        <v>1</v>
      </c>
      <c r="M91" s="734">
        <v>1</v>
      </c>
      <c r="N91" s="734">
        <v>1</v>
      </c>
      <c r="O91" s="734">
        <v>1</v>
      </c>
      <c r="P91" s="734">
        <v>1</v>
      </c>
      <c r="Q91" s="734">
        <v>1</v>
      </c>
      <c r="R91" s="734">
        <v>1</v>
      </c>
      <c r="S91" s="691" t="s">
        <v>1613</v>
      </c>
      <c r="T91" s="691" t="s">
        <v>1613</v>
      </c>
    </row>
    <row r="92" spans="1:20" ht="26.25" thickBot="1">
      <c r="A92" s="3324"/>
      <c r="B92" s="725" t="s">
        <v>68</v>
      </c>
      <c r="C92" s="701" t="s">
        <v>1171</v>
      </c>
      <c r="D92" s="689" t="s">
        <v>1055</v>
      </c>
      <c r="E92" s="2713">
        <v>167</v>
      </c>
      <c r="F92" s="1916">
        <v>160</v>
      </c>
      <c r="G92" s="1914">
        <v>165</v>
      </c>
      <c r="H92" s="1914">
        <v>160</v>
      </c>
      <c r="I92" s="1914">
        <v>160</v>
      </c>
      <c r="J92" s="1914">
        <v>160</v>
      </c>
      <c r="K92" s="1914">
        <v>160</v>
      </c>
      <c r="L92" s="734">
        <v>1</v>
      </c>
      <c r="M92" s="734">
        <v>1</v>
      </c>
      <c r="N92" s="734">
        <v>1</v>
      </c>
      <c r="O92" s="734">
        <v>1</v>
      </c>
      <c r="P92" s="734">
        <v>1</v>
      </c>
      <c r="Q92" s="734">
        <v>1</v>
      </c>
      <c r="R92" s="734">
        <v>1</v>
      </c>
      <c r="S92" s="691" t="s">
        <v>1613</v>
      </c>
      <c r="T92" s="691" t="s">
        <v>1613</v>
      </c>
    </row>
    <row r="93" spans="1:20" ht="26.25" thickBot="1">
      <c r="A93" s="3324"/>
      <c r="B93" s="725" t="s">
        <v>69</v>
      </c>
      <c r="C93" s="701" t="s">
        <v>1170</v>
      </c>
      <c r="D93" s="689" t="s">
        <v>1055</v>
      </c>
      <c r="E93" s="2713">
        <v>0</v>
      </c>
      <c r="F93" s="1916">
        <v>0</v>
      </c>
      <c r="G93" s="1916">
        <v>0</v>
      </c>
      <c r="H93" s="1916">
        <v>0</v>
      </c>
      <c r="I93" s="1916">
        <v>0</v>
      </c>
      <c r="J93" s="1916">
        <v>0</v>
      </c>
      <c r="K93" s="1916">
        <v>0</v>
      </c>
      <c r="L93" s="734">
        <v>1</v>
      </c>
      <c r="M93" s="734">
        <v>1</v>
      </c>
      <c r="N93" s="734">
        <v>1</v>
      </c>
      <c r="O93" s="734">
        <v>1</v>
      </c>
      <c r="P93" s="734">
        <v>1</v>
      </c>
      <c r="Q93" s="734">
        <v>1</v>
      </c>
      <c r="R93" s="734">
        <v>1</v>
      </c>
      <c r="S93" s="691" t="s">
        <v>1613</v>
      </c>
      <c r="T93" s="691" t="s">
        <v>1613</v>
      </c>
    </row>
    <row r="94" spans="1:20" ht="39" thickBot="1">
      <c r="A94" s="3325"/>
      <c r="B94" s="724" t="s">
        <v>70</v>
      </c>
      <c r="C94" s="702" t="s">
        <v>1169</v>
      </c>
      <c r="D94" s="690" t="s">
        <v>1055</v>
      </c>
      <c r="E94" s="2719">
        <v>0</v>
      </c>
      <c r="F94" s="1916">
        <v>0</v>
      </c>
      <c r="G94" s="1916">
        <v>0</v>
      </c>
      <c r="H94" s="1916">
        <v>0</v>
      </c>
      <c r="I94" s="1916">
        <v>0</v>
      </c>
      <c r="J94" s="1916">
        <v>0</v>
      </c>
      <c r="K94" s="1916">
        <v>0</v>
      </c>
      <c r="L94" s="734">
        <v>1</v>
      </c>
      <c r="M94" s="734">
        <v>1</v>
      </c>
      <c r="N94" s="734">
        <v>1</v>
      </c>
      <c r="O94" s="734">
        <v>1</v>
      </c>
      <c r="P94" s="734">
        <v>1</v>
      </c>
      <c r="Q94" s="734">
        <v>1</v>
      </c>
      <c r="R94" s="734">
        <v>1</v>
      </c>
      <c r="S94" s="691" t="s">
        <v>1613</v>
      </c>
      <c r="T94" s="691" t="s">
        <v>1613</v>
      </c>
    </row>
    <row r="95" spans="1:20" ht="20.25" customHeight="1" thickBot="1">
      <c r="A95" s="3323" t="s">
        <v>1149</v>
      </c>
      <c r="B95" s="726" t="s">
        <v>71</v>
      </c>
      <c r="C95" s="710" t="s">
        <v>1377</v>
      </c>
      <c r="D95" s="699" t="s">
        <v>1055</v>
      </c>
      <c r="E95" s="2727">
        <f t="shared" ref="E95:K95" si="11">E96+E101+E106</f>
        <v>167</v>
      </c>
      <c r="F95" s="2535">
        <f t="shared" si="11"/>
        <v>160</v>
      </c>
      <c r="G95" s="2536">
        <f t="shared" si="11"/>
        <v>165</v>
      </c>
      <c r="H95" s="2536">
        <f t="shared" si="11"/>
        <v>160</v>
      </c>
      <c r="I95" s="2536">
        <f t="shared" si="11"/>
        <v>160</v>
      </c>
      <c r="J95" s="2536">
        <f t="shared" si="11"/>
        <v>160</v>
      </c>
      <c r="K95" s="2537">
        <f t="shared" si="11"/>
        <v>160</v>
      </c>
      <c r="L95" s="734">
        <v>1</v>
      </c>
      <c r="M95" s="734">
        <v>1</v>
      </c>
      <c r="N95" s="734">
        <v>1</v>
      </c>
      <c r="O95" s="734">
        <v>1</v>
      </c>
      <c r="P95" s="734">
        <v>1</v>
      </c>
      <c r="Q95" s="734">
        <v>1</v>
      </c>
      <c r="R95" s="734">
        <v>1</v>
      </c>
      <c r="S95" s="691" t="s">
        <v>1613</v>
      </c>
      <c r="T95" s="691" t="s">
        <v>1613</v>
      </c>
    </row>
    <row r="96" spans="1:20" ht="26.25" thickBot="1">
      <c r="A96" s="3324"/>
      <c r="B96" s="727" t="s">
        <v>72</v>
      </c>
      <c r="C96" s="711" t="s">
        <v>1167</v>
      </c>
      <c r="D96" s="689" t="s">
        <v>1055</v>
      </c>
      <c r="E96" s="2728">
        <f>SUM(E97:E100)</f>
        <v>167</v>
      </c>
      <c r="F96" s="2532">
        <f t="shared" ref="F96:K96" si="12">SUM(F97:F100)</f>
        <v>160</v>
      </c>
      <c r="G96" s="2533">
        <f t="shared" si="12"/>
        <v>165</v>
      </c>
      <c r="H96" s="2533">
        <f t="shared" si="12"/>
        <v>160</v>
      </c>
      <c r="I96" s="2533">
        <f t="shared" si="12"/>
        <v>160</v>
      </c>
      <c r="J96" s="2533">
        <f t="shared" si="12"/>
        <v>160</v>
      </c>
      <c r="K96" s="2534">
        <f t="shared" si="12"/>
        <v>160</v>
      </c>
      <c r="L96" s="734">
        <v>1</v>
      </c>
      <c r="M96" s="734">
        <v>1</v>
      </c>
      <c r="N96" s="734">
        <v>1</v>
      </c>
      <c r="O96" s="734">
        <v>1</v>
      </c>
      <c r="P96" s="734">
        <v>1</v>
      </c>
      <c r="Q96" s="734">
        <v>1</v>
      </c>
      <c r="R96" s="734">
        <v>1</v>
      </c>
      <c r="S96" s="691" t="s">
        <v>1613</v>
      </c>
      <c r="T96" s="691" t="s">
        <v>1613</v>
      </c>
    </row>
    <row r="97" spans="1:20" ht="26.25" thickBot="1">
      <c r="A97" s="3324"/>
      <c r="B97" s="717" t="s">
        <v>38</v>
      </c>
      <c r="C97" s="124" t="s">
        <v>1168</v>
      </c>
      <c r="D97" s="689" t="s">
        <v>1055</v>
      </c>
      <c r="E97" s="2713">
        <v>0</v>
      </c>
      <c r="F97" s="2713">
        <v>0</v>
      </c>
      <c r="G97" s="2713">
        <v>0</v>
      </c>
      <c r="H97" s="2713">
        <v>0</v>
      </c>
      <c r="I97" s="2713">
        <v>0</v>
      </c>
      <c r="J97" s="2713">
        <v>0</v>
      </c>
      <c r="K97" s="2713">
        <v>0</v>
      </c>
      <c r="L97" s="734">
        <v>1</v>
      </c>
      <c r="M97" s="734">
        <v>1</v>
      </c>
      <c r="N97" s="734">
        <v>1</v>
      </c>
      <c r="O97" s="734">
        <v>1</v>
      </c>
      <c r="P97" s="734">
        <v>1</v>
      </c>
      <c r="Q97" s="734">
        <v>1</v>
      </c>
      <c r="R97" s="734">
        <v>1</v>
      </c>
      <c r="S97" s="691" t="s">
        <v>1613</v>
      </c>
      <c r="T97" s="691" t="s">
        <v>1613</v>
      </c>
    </row>
    <row r="98" spans="1:20" ht="21" customHeight="1" thickBot="1">
      <c r="A98" s="3324"/>
      <c r="B98" s="725" t="s">
        <v>73</v>
      </c>
      <c r="C98" s="701" t="s">
        <v>1166</v>
      </c>
      <c r="D98" s="689" t="s">
        <v>1055</v>
      </c>
      <c r="E98" s="2713">
        <v>8</v>
      </c>
      <c r="F98" s="1916">
        <v>10</v>
      </c>
      <c r="G98" s="1916">
        <v>10</v>
      </c>
      <c r="H98" s="1916">
        <v>10</v>
      </c>
      <c r="I98" s="1916">
        <v>10</v>
      </c>
      <c r="J98" s="1916">
        <v>10</v>
      </c>
      <c r="K98" s="1916">
        <v>10</v>
      </c>
      <c r="L98" s="734">
        <v>1</v>
      </c>
      <c r="M98" s="734">
        <v>1</v>
      </c>
      <c r="N98" s="734">
        <v>1</v>
      </c>
      <c r="O98" s="734">
        <v>1</v>
      </c>
      <c r="P98" s="734">
        <v>1</v>
      </c>
      <c r="Q98" s="734">
        <v>1</v>
      </c>
      <c r="R98" s="734">
        <v>1</v>
      </c>
      <c r="S98" s="691" t="s">
        <v>1613</v>
      </c>
      <c r="T98" s="691" t="s">
        <v>1613</v>
      </c>
    </row>
    <row r="99" spans="1:20" ht="13.5" thickBot="1">
      <c r="A99" s="3324"/>
      <c r="B99" s="725" t="s">
        <v>74</v>
      </c>
      <c r="C99" s="701" t="s">
        <v>1378</v>
      </c>
      <c r="D99" s="689" t="s">
        <v>1055</v>
      </c>
      <c r="E99" s="2713">
        <v>0</v>
      </c>
      <c r="F99" s="2713">
        <v>0</v>
      </c>
      <c r="G99" s="2713">
        <v>0</v>
      </c>
      <c r="H99" s="2713">
        <v>0</v>
      </c>
      <c r="I99" s="2713">
        <v>0</v>
      </c>
      <c r="J99" s="2713">
        <v>0</v>
      </c>
      <c r="K99" s="2713">
        <v>0</v>
      </c>
      <c r="L99" s="734">
        <v>1</v>
      </c>
      <c r="M99" s="734">
        <v>1</v>
      </c>
      <c r="N99" s="734">
        <v>1</v>
      </c>
      <c r="O99" s="734">
        <v>1</v>
      </c>
      <c r="P99" s="734">
        <v>1</v>
      </c>
      <c r="Q99" s="734">
        <v>1</v>
      </c>
      <c r="R99" s="734">
        <v>1</v>
      </c>
      <c r="S99" s="691" t="s">
        <v>1613</v>
      </c>
      <c r="T99" s="691" t="s">
        <v>1613</v>
      </c>
    </row>
    <row r="100" spans="1:20" ht="13.5" thickBot="1">
      <c r="A100" s="3324"/>
      <c r="B100" s="725" t="s">
        <v>75</v>
      </c>
      <c r="C100" s="701" t="s">
        <v>1165</v>
      </c>
      <c r="D100" s="689" t="s">
        <v>1055</v>
      </c>
      <c r="E100" s="2713">
        <v>159</v>
      </c>
      <c r="F100" s="1916">
        <v>150</v>
      </c>
      <c r="G100" s="1914">
        <v>155</v>
      </c>
      <c r="H100" s="1914">
        <v>150</v>
      </c>
      <c r="I100" s="1914">
        <v>150</v>
      </c>
      <c r="J100" s="1914">
        <v>150</v>
      </c>
      <c r="K100" s="1914">
        <v>150</v>
      </c>
      <c r="L100" s="734">
        <v>1</v>
      </c>
      <c r="M100" s="734">
        <v>1</v>
      </c>
      <c r="N100" s="734">
        <v>1</v>
      </c>
      <c r="O100" s="734">
        <v>1</v>
      </c>
      <c r="P100" s="734">
        <v>1</v>
      </c>
      <c r="Q100" s="734">
        <v>1</v>
      </c>
      <c r="R100" s="734">
        <v>1</v>
      </c>
      <c r="S100" s="691" t="s">
        <v>1613</v>
      </c>
      <c r="T100" s="691" t="s">
        <v>1613</v>
      </c>
    </row>
    <row r="101" spans="1:20" ht="26.25" thickBot="1">
      <c r="A101" s="3324"/>
      <c r="B101" s="727" t="s">
        <v>76</v>
      </c>
      <c r="C101" s="711" t="s">
        <v>1164</v>
      </c>
      <c r="D101" s="689" t="s">
        <v>1055</v>
      </c>
      <c r="E101" s="2728">
        <f>SUM(E102:E105)</f>
        <v>0</v>
      </c>
      <c r="F101" s="2532">
        <f t="shared" ref="F101:K101" si="13">SUM(F102:F105)</f>
        <v>0</v>
      </c>
      <c r="G101" s="2533">
        <f t="shared" si="13"/>
        <v>0</v>
      </c>
      <c r="H101" s="2533">
        <f t="shared" si="13"/>
        <v>0</v>
      </c>
      <c r="I101" s="2533">
        <f t="shared" si="13"/>
        <v>0</v>
      </c>
      <c r="J101" s="2533">
        <f t="shared" si="13"/>
        <v>0</v>
      </c>
      <c r="K101" s="2534">
        <f t="shared" si="13"/>
        <v>0</v>
      </c>
      <c r="L101" s="734">
        <v>1</v>
      </c>
      <c r="M101" s="734">
        <v>1</v>
      </c>
      <c r="N101" s="734">
        <v>1</v>
      </c>
      <c r="O101" s="734">
        <v>1</v>
      </c>
      <c r="P101" s="734">
        <v>1</v>
      </c>
      <c r="Q101" s="734">
        <v>1</v>
      </c>
      <c r="R101" s="734">
        <v>1</v>
      </c>
      <c r="S101" s="691" t="s">
        <v>1613</v>
      </c>
      <c r="T101" s="691" t="s">
        <v>1613</v>
      </c>
    </row>
    <row r="102" spans="1:20" ht="13.5" thickBot="1">
      <c r="A102" s="3324"/>
      <c r="B102" s="725" t="s">
        <v>77</v>
      </c>
      <c r="C102" s="701" t="s">
        <v>1163</v>
      </c>
      <c r="D102" s="689" t="s">
        <v>1055</v>
      </c>
      <c r="E102" s="2713">
        <v>0</v>
      </c>
      <c r="F102" s="2713">
        <v>0</v>
      </c>
      <c r="G102" s="2713">
        <v>0</v>
      </c>
      <c r="H102" s="2713">
        <v>0</v>
      </c>
      <c r="I102" s="2713">
        <v>0</v>
      </c>
      <c r="J102" s="2713">
        <v>0</v>
      </c>
      <c r="K102" s="2713">
        <v>0</v>
      </c>
      <c r="L102" s="734">
        <v>1</v>
      </c>
      <c r="M102" s="734">
        <v>1</v>
      </c>
      <c r="N102" s="734">
        <v>1</v>
      </c>
      <c r="O102" s="734">
        <v>1</v>
      </c>
      <c r="P102" s="734">
        <v>1</v>
      </c>
      <c r="Q102" s="734">
        <v>1</v>
      </c>
      <c r="R102" s="734">
        <v>1</v>
      </c>
      <c r="S102" s="691" t="s">
        <v>1613</v>
      </c>
      <c r="T102" s="691" t="s">
        <v>1613</v>
      </c>
    </row>
    <row r="103" spans="1:20" ht="13.5" thickBot="1">
      <c r="A103" s="3324"/>
      <c r="B103" s="725" t="s">
        <v>78</v>
      </c>
      <c r="C103" s="701" t="s">
        <v>1162</v>
      </c>
      <c r="D103" s="689" t="s">
        <v>1055</v>
      </c>
      <c r="E103" s="2713">
        <v>0</v>
      </c>
      <c r="F103" s="2713">
        <v>0</v>
      </c>
      <c r="G103" s="2713">
        <v>0</v>
      </c>
      <c r="H103" s="2713">
        <v>0</v>
      </c>
      <c r="I103" s="2713">
        <v>0</v>
      </c>
      <c r="J103" s="2713">
        <v>0</v>
      </c>
      <c r="K103" s="2713">
        <v>0</v>
      </c>
      <c r="L103" s="734">
        <v>1</v>
      </c>
      <c r="M103" s="734">
        <v>1</v>
      </c>
      <c r="N103" s="734">
        <v>1</v>
      </c>
      <c r="O103" s="734">
        <v>1</v>
      </c>
      <c r="P103" s="734">
        <v>1</v>
      </c>
      <c r="Q103" s="734">
        <v>1</v>
      </c>
      <c r="R103" s="734">
        <v>1</v>
      </c>
      <c r="S103" s="691" t="s">
        <v>1613</v>
      </c>
      <c r="T103" s="691" t="s">
        <v>1613</v>
      </c>
    </row>
    <row r="104" spans="1:20" ht="13.5" thickBot="1">
      <c r="A104" s="3324"/>
      <c r="B104" s="725" t="s">
        <v>79</v>
      </c>
      <c r="C104" s="701" t="s">
        <v>1161</v>
      </c>
      <c r="D104" s="689" t="s">
        <v>1055</v>
      </c>
      <c r="E104" s="2713">
        <v>0</v>
      </c>
      <c r="F104" s="2713">
        <v>0</v>
      </c>
      <c r="G104" s="2713">
        <v>0</v>
      </c>
      <c r="H104" s="2713">
        <v>0</v>
      </c>
      <c r="I104" s="2713">
        <v>0</v>
      </c>
      <c r="J104" s="2713">
        <v>0</v>
      </c>
      <c r="K104" s="2713">
        <v>0</v>
      </c>
      <c r="L104" s="734">
        <v>1</v>
      </c>
      <c r="M104" s="734">
        <v>1</v>
      </c>
      <c r="N104" s="734">
        <v>1</v>
      </c>
      <c r="O104" s="734">
        <v>1</v>
      </c>
      <c r="P104" s="734">
        <v>1</v>
      </c>
      <c r="Q104" s="734">
        <v>1</v>
      </c>
      <c r="R104" s="734">
        <v>1</v>
      </c>
      <c r="S104" s="691" t="s">
        <v>1613</v>
      </c>
      <c r="T104" s="691" t="s">
        <v>1613</v>
      </c>
    </row>
    <row r="105" spans="1:20" ht="26.25" thickBot="1">
      <c r="A105" s="3324"/>
      <c r="B105" s="725" t="s">
        <v>80</v>
      </c>
      <c r="C105" s="701" t="s">
        <v>1160</v>
      </c>
      <c r="D105" s="689" t="s">
        <v>1055</v>
      </c>
      <c r="E105" s="2713">
        <v>0</v>
      </c>
      <c r="F105" s="2713">
        <v>0</v>
      </c>
      <c r="G105" s="2713">
        <v>0</v>
      </c>
      <c r="H105" s="2713">
        <v>0</v>
      </c>
      <c r="I105" s="2713">
        <v>0</v>
      </c>
      <c r="J105" s="2713">
        <v>0</v>
      </c>
      <c r="K105" s="2713">
        <v>0</v>
      </c>
      <c r="L105" s="734">
        <v>1</v>
      </c>
      <c r="M105" s="734">
        <v>1</v>
      </c>
      <c r="N105" s="734">
        <v>1</v>
      </c>
      <c r="O105" s="734">
        <v>1</v>
      </c>
      <c r="P105" s="734">
        <v>1</v>
      </c>
      <c r="Q105" s="734">
        <v>1</v>
      </c>
      <c r="R105" s="734">
        <v>1</v>
      </c>
      <c r="S105" s="691" t="s">
        <v>1613</v>
      </c>
      <c r="T105" s="691" t="s">
        <v>1613</v>
      </c>
    </row>
    <row r="106" spans="1:20" ht="39" thickBot="1">
      <c r="A106" s="3325"/>
      <c r="B106" s="728" t="s">
        <v>81</v>
      </c>
      <c r="C106" s="712" t="s">
        <v>1159</v>
      </c>
      <c r="D106" s="690" t="s">
        <v>1055</v>
      </c>
      <c r="E106" s="2713">
        <v>0</v>
      </c>
      <c r="F106" s="2713">
        <v>0</v>
      </c>
      <c r="G106" s="2713">
        <v>0</v>
      </c>
      <c r="H106" s="2713">
        <v>0</v>
      </c>
      <c r="I106" s="2713">
        <v>0</v>
      </c>
      <c r="J106" s="2713">
        <v>0</v>
      </c>
      <c r="K106" s="2713">
        <v>0</v>
      </c>
      <c r="L106" s="734">
        <v>1</v>
      </c>
      <c r="M106" s="734">
        <v>1</v>
      </c>
      <c r="N106" s="734">
        <v>1</v>
      </c>
      <c r="O106" s="734">
        <v>1</v>
      </c>
      <c r="P106" s="734">
        <v>1</v>
      </c>
      <c r="Q106" s="734">
        <v>1</v>
      </c>
      <c r="R106" s="734">
        <v>1</v>
      </c>
      <c r="S106" s="691" t="s">
        <v>1613</v>
      </c>
      <c r="T106" s="691" t="s">
        <v>1613</v>
      </c>
    </row>
    <row r="107" spans="1:20" ht="38.25">
      <c r="A107" s="3323" t="s">
        <v>1151</v>
      </c>
      <c r="B107" s="723" t="s">
        <v>82</v>
      </c>
      <c r="C107" s="700" t="s">
        <v>1156</v>
      </c>
      <c r="D107" s="699" t="s">
        <v>1055</v>
      </c>
      <c r="E107" s="2718">
        <v>39</v>
      </c>
      <c r="F107" s="1923">
        <v>180</v>
      </c>
      <c r="G107" s="1910">
        <v>45</v>
      </c>
      <c r="H107" s="1910">
        <v>55</v>
      </c>
      <c r="I107" s="1910">
        <v>37</v>
      </c>
      <c r="J107" s="1910">
        <v>32</v>
      </c>
      <c r="K107" s="1911">
        <v>25</v>
      </c>
      <c r="L107" s="734">
        <v>1</v>
      </c>
      <c r="M107" s="729">
        <v>1</v>
      </c>
      <c r="N107" s="691">
        <v>1</v>
      </c>
      <c r="O107" s="691">
        <v>1</v>
      </c>
      <c r="P107" s="691">
        <v>1</v>
      </c>
      <c r="Q107" s="691">
        <v>1</v>
      </c>
      <c r="R107" s="1379">
        <v>1</v>
      </c>
      <c r="S107" s="3129" t="s">
        <v>1611</v>
      </c>
      <c r="T107" s="692" t="s">
        <v>1611</v>
      </c>
    </row>
    <row r="108" spans="1:20" ht="51">
      <c r="A108" s="3324"/>
      <c r="B108" s="725" t="s">
        <v>83</v>
      </c>
      <c r="C108" s="701" t="s">
        <v>1157</v>
      </c>
      <c r="D108" s="689" t="s">
        <v>1055</v>
      </c>
      <c r="E108" s="2713">
        <v>113</v>
      </c>
      <c r="F108" s="1916">
        <v>180</v>
      </c>
      <c r="G108" s="1914">
        <v>115</v>
      </c>
      <c r="H108" s="1914">
        <v>105</v>
      </c>
      <c r="I108" s="1914">
        <v>112</v>
      </c>
      <c r="J108" s="1914">
        <v>106</v>
      </c>
      <c r="K108" s="1915">
        <v>75</v>
      </c>
      <c r="L108" s="735">
        <v>1</v>
      </c>
      <c r="M108" s="730">
        <v>1</v>
      </c>
      <c r="N108" s="686">
        <v>1</v>
      </c>
      <c r="O108" s="686">
        <v>1</v>
      </c>
      <c r="P108" s="686">
        <v>1</v>
      </c>
      <c r="Q108" s="686">
        <v>1</v>
      </c>
      <c r="R108" s="1380">
        <v>1</v>
      </c>
      <c r="S108" s="3130" t="s">
        <v>1611</v>
      </c>
      <c r="T108" s="693" t="s">
        <v>1611</v>
      </c>
    </row>
    <row r="109" spans="1:20" ht="38.25">
      <c r="A109" s="3324"/>
      <c r="B109" s="725" t="s">
        <v>84</v>
      </c>
      <c r="C109" s="701" t="s">
        <v>1158</v>
      </c>
      <c r="D109" s="689" t="s">
        <v>1055</v>
      </c>
      <c r="E109" s="2713">
        <v>12</v>
      </c>
      <c r="F109" s="1916">
        <v>110</v>
      </c>
      <c r="G109" s="1914">
        <v>18</v>
      </c>
      <c r="H109" s="1914">
        <v>21</v>
      </c>
      <c r="I109" s="1914">
        <v>19</v>
      </c>
      <c r="J109" s="1914">
        <v>22</v>
      </c>
      <c r="K109" s="1915">
        <v>25</v>
      </c>
      <c r="L109" s="735">
        <v>1</v>
      </c>
      <c r="M109" s="730">
        <v>1</v>
      </c>
      <c r="N109" s="686">
        <v>1</v>
      </c>
      <c r="O109" s="686">
        <v>1</v>
      </c>
      <c r="P109" s="686">
        <v>1</v>
      </c>
      <c r="Q109" s="686">
        <v>1</v>
      </c>
      <c r="R109" s="1380">
        <v>1</v>
      </c>
      <c r="S109" s="3130" t="s">
        <v>1611</v>
      </c>
      <c r="T109" s="1368" t="s">
        <v>1611</v>
      </c>
    </row>
    <row r="110" spans="1:20" ht="51.75" thickBot="1">
      <c r="A110" s="3325"/>
      <c r="B110" s="724" t="s">
        <v>85</v>
      </c>
      <c r="C110" s="702" t="s">
        <v>1155</v>
      </c>
      <c r="D110" s="690" t="s">
        <v>1055</v>
      </c>
      <c r="E110" s="2719">
        <v>42</v>
      </c>
      <c r="F110" s="1924">
        <v>110</v>
      </c>
      <c r="G110" s="1919">
        <v>34</v>
      </c>
      <c r="H110" s="1919">
        <v>40</v>
      </c>
      <c r="I110" s="1919">
        <v>42</v>
      </c>
      <c r="J110" s="1919">
        <v>45</v>
      </c>
      <c r="K110" s="1920">
        <v>50</v>
      </c>
      <c r="L110" s="735">
        <v>1</v>
      </c>
      <c r="M110" s="730">
        <v>1</v>
      </c>
      <c r="N110" s="686">
        <v>1</v>
      </c>
      <c r="O110" s="686">
        <v>1</v>
      </c>
      <c r="P110" s="686">
        <v>1</v>
      </c>
      <c r="Q110" s="686">
        <v>1</v>
      </c>
      <c r="R110" s="1380">
        <v>1</v>
      </c>
      <c r="S110" s="3131" t="s">
        <v>1611</v>
      </c>
      <c r="T110" s="3132" t="s">
        <v>1611</v>
      </c>
    </row>
    <row r="111" spans="1:20" ht="26.25" thickBot="1">
      <c r="A111" s="3329" t="s">
        <v>1152</v>
      </c>
      <c r="B111" s="723" t="s">
        <v>86</v>
      </c>
      <c r="C111" s="700" t="s">
        <v>1153</v>
      </c>
      <c r="D111" s="699" t="s">
        <v>1055</v>
      </c>
      <c r="E111" s="2725">
        <f>'5. Персонал'!C14+'5. Персонал'!AE14+'5. Персонал'!AL14</f>
        <v>431</v>
      </c>
      <c r="F111" s="2541">
        <f>'5. Персонал'!D14+'5. Персонал'!AF14+'5. Персонал'!AM14</f>
        <v>432</v>
      </c>
      <c r="G111" s="2542">
        <f>'5. Персонал'!E14+'5. Персонал'!AG14+'5. Персонал'!AN14</f>
        <v>439</v>
      </c>
      <c r="H111" s="2542">
        <f>'5. Персонал'!F14+'5. Персонал'!AH14+'5. Персонал'!AO14</f>
        <v>454</v>
      </c>
      <c r="I111" s="2542">
        <f>'5. Персонал'!G14+'5. Персонал'!AI14+'5. Персонал'!AP14</f>
        <v>454</v>
      </c>
      <c r="J111" s="2542">
        <f>'5. Персонал'!H14+'5. Персонал'!AJ14+'5. Персонал'!AQ14</f>
        <v>454</v>
      </c>
      <c r="K111" s="2543">
        <f>'5. Персонал'!I14+'5. Персонал'!AK14+'5. Персонал'!AR14</f>
        <v>469</v>
      </c>
      <c r="L111" s="734">
        <v>1</v>
      </c>
      <c r="M111" s="734">
        <v>1</v>
      </c>
      <c r="N111" s="734">
        <v>1</v>
      </c>
      <c r="O111" s="734">
        <v>1</v>
      </c>
      <c r="P111" s="734">
        <v>1</v>
      </c>
      <c r="Q111" s="734">
        <v>1</v>
      </c>
      <c r="R111" s="734">
        <v>1</v>
      </c>
      <c r="S111" s="691" t="s">
        <v>1573</v>
      </c>
      <c r="T111" s="691" t="s">
        <v>1573</v>
      </c>
    </row>
    <row r="112" spans="1:20" ht="26.25" thickBot="1">
      <c r="A112" s="3330"/>
      <c r="B112" s="724" t="s">
        <v>88</v>
      </c>
      <c r="C112" s="702" t="s">
        <v>1154</v>
      </c>
      <c r="D112" s="690" t="s">
        <v>1055</v>
      </c>
      <c r="E112" s="2729">
        <f>'5. Персонал'!J14+'5. Персонал'!Q14</f>
        <v>57</v>
      </c>
      <c r="F112" s="2529">
        <f>'5. Персонал'!K14+'5. Персонал'!R14</f>
        <v>57</v>
      </c>
      <c r="G112" s="2530">
        <f>'5. Персонал'!L14+'5. Персонал'!S14</f>
        <v>80</v>
      </c>
      <c r="H112" s="2530">
        <f>'5. Персонал'!M14+'5. Персонал'!T14</f>
        <v>80</v>
      </c>
      <c r="I112" s="2530">
        <f>'5. Персонал'!N14+'5. Персонал'!U14</f>
        <v>87</v>
      </c>
      <c r="J112" s="2530">
        <f>'5. Персонал'!O14+'5. Персонал'!V14</f>
        <v>91</v>
      </c>
      <c r="K112" s="2531">
        <f>'5. Персонал'!P14+'5. Персонал'!W14</f>
        <v>93</v>
      </c>
      <c r="L112" s="734">
        <v>1</v>
      </c>
      <c r="M112" s="734">
        <v>1</v>
      </c>
      <c r="N112" s="734">
        <v>1</v>
      </c>
      <c r="O112" s="734">
        <v>1</v>
      </c>
      <c r="P112" s="734">
        <v>1</v>
      </c>
      <c r="Q112" s="734">
        <v>1</v>
      </c>
      <c r="R112" s="734">
        <v>1</v>
      </c>
      <c r="S112" s="691" t="s">
        <v>1573</v>
      </c>
      <c r="T112" s="691" t="s">
        <v>1573</v>
      </c>
    </row>
    <row r="114" spans="1:20">
      <c r="D114" s="2736"/>
    </row>
    <row r="115" spans="1:20">
      <c r="E115" s="2730" t="str">
        <f>'1. Анкетна карта'!H53</f>
        <v>Главен счетоводител:</v>
      </c>
      <c r="G115" s="2705" t="s">
        <v>4</v>
      </c>
    </row>
    <row r="116" spans="1:20">
      <c r="H116" s="2705" t="s">
        <v>246</v>
      </c>
    </row>
    <row r="117" spans="1:20">
      <c r="C117" s="678" t="str">
        <f>'1. Анкетна карта'!B54</f>
        <v>Дата: 27.06.2016г.</v>
      </c>
    </row>
    <row r="118" spans="1:20">
      <c r="F118" s="2730" t="str">
        <f>'1. Анкетна карта'!H57</f>
        <v>Управител:</v>
      </c>
      <c r="G118" s="2705" t="s">
        <v>4</v>
      </c>
    </row>
    <row r="119" spans="1:20">
      <c r="A119" s="679" t="s">
        <v>757</v>
      </c>
    </row>
    <row r="120" spans="1:20">
      <c r="A120" s="681" t="s">
        <v>248</v>
      </c>
      <c r="H120" s="2705" t="s">
        <v>6</v>
      </c>
    </row>
    <row r="121" spans="1:20">
      <c r="A121" s="681" t="s">
        <v>1369</v>
      </c>
    </row>
    <row r="122" spans="1:20">
      <c r="A122" s="681" t="s">
        <v>1370</v>
      </c>
    </row>
    <row r="123" spans="1:20">
      <c r="A123" s="3071" t="s">
        <v>1532</v>
      </c>
    </row>
    <row r="124" spans="1:20" s="680" customFormat="1" ht="15.75">
      <c r="D124" s="2737"/>
      <c r="E124" s="2731"/>
      <c r="F124" s="2731"/>
      <c r="G124" s="2732"/>
      <c r="H124" s="2733"/>
      <c r="I124" s="2732"/>
      <c r="J124" s="2734"/>
      <c r="K124" s="2731"/>
      <c r="L124" s="2731"/>
      <c r="M124" s="2731"/>
      <c r="N124" s="2731"/>
      <c r="O124" s="2731"/>
      <c r="P124" s="2731"/>
      <c r="Q124" s="2731"/>
      <c r="R124" s="2731"/>
      <c r="S124" s="2731"/>
      <c r="T124" s="2731"/>
    </row>
    <row r="125" spans="1:20" s="684" customFormat="1" ht="12">
      <c r="C125" s="682"/>
      <c r="D125" s="1564"/>
      <c r="E125" s="2735"/>
      <c r="F125" s="1563"/>
      <c r="G125" s="1563"/>
      <c r="H125" s="1563"/>
      <c r="I125" s="1562"/>
      <c r="J125" s="1562"/>
      <c r="K125" s="1562"/>
      <c r="L125" s="1562"/>
      <c r="M125" s="1562"/>
      <c r="N125" s="1562"/>
      <c r="O125" s="1562"/>
      <c r="P125" s="1562"/>
      <c r="Q125" s="1562"/>
      <c r="R125" s="1562"/>
      <c r="S125" s="1562"/>
      <c r="T125" s="1562"/>
    </row>
  </sheetData>
  <sheetProtection password="C6DB" sheet="1" objects="1" scenarios="1" formatCells="0" formatColumns="0" formatRows="0"/>
  <mergeCells count="30">
    <mergeCell ref="A95:A106"/>
    <mergeCell ref="A91:A94"/>
    <mergeCell ref="A107:A110"/>
    <mergeCell ref="A111:A112"/>
    <mergeCell ref="A52:A53"/>
    <mergeCell ref="A78:A79"/>
    <mergeCell ref="A61:A64"/>
    <mergeCell ref="A80:A81"/>
    <mergeCell ref="A82:A90"/>
    <mergeCell ref="A56:A60"/>
    <mergeCell ref="A54:A55"/>
    <mergeCell ref="A76:A77"/>
    <mergeCell ref="A65:A75"/>
    <mergeCell ref="A8:A11"/>
    <mergeCell ref="A12:A14"/>
    <mergeCell ref="A32:A41"/>
    <mergeCell ref="A42:A51"/>
    <mergeCell ref="A15:A18"/>
    <mergeCell ref="A19:A31"/>
    <mergeCell ref="E1:F1"/>
    <mergeCell ref="D6:D7"/>
    <mergeCell ref="C6:C7"/>
    <mergeCell ref="B6:B7"/>
    <mergeCell ref="E6:K6"/>
    <mergeCell ref="S6:T6"/>
    <mergeCell ref="L6:R6"/>
    <mergeCell ref="A4:R4"/>
    <mergeCell ref="A2:R2"/>
    <mergeCell ref="A3:R3"/>
    <mergeCell ref="A6:A7"/>
  </mergeCells>
  <conditionalFormatting sqref="B70:B71 B65:B68">
    <cfRule type="duplicateValues" dxfId="8" priority="3"/>
  </conditionalFormatting>
  <conditionalFormatting sqref="A6">
    <cfRule type="duplicateValues" dxfId="7" priority="2"/>
  </conditionalFormatting>
  <conditionalFormatting sqref="B97">
    <cfRule type="duplicateValues" dxfId="6" priority="1"/>
  </conditionalFormatting>
  <conditionalFormatting sqref="B98:B112 B64 B6 B26:B61 B76:B96 B72:B74 B8:B24 B69">
    <cfRule type="duplicateValues" dxfId="5" priority="11"/>
  </conditionalFormatting>
  <printOptions horizontalCentered="1"/>
  <pageMargins left="0.39370078740157483" right="0.39370078740157483" top="0.86614173228346458" bottom="0.39370078740157483" header="0.39370078740157483" footer="0.39370078740157483"/>
  <pageSetup paperSize="9" scale="48" fitToHeight="4" orientation="landscape" r:id="rId1"/>
  <headerFooter alignWithMargins="0">
    <oddFooter>&amp;A&amp;RPage &amp;P</oddFooter>
  </headerFooter>
  <rowBreaks count="3" manualBreakCount="3">
    <brk id="31" max="19" man="1"/>
    <brk id="55" max="19" man="1"/>
    <brk id="81" max="19" man="1"/>
  </rowBreaks>
  <ignoredErrors>
    <ignoredError sqref="E112:K11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CC"/>
  </sheetPr>
  <dimension ref="A1:O50"/>
  <sheetViews>
    <sheetView showGridLines="0" view="pageBreakPreview" zoomScale="90" zoomScaleNormal="90" zoomScaleSheetLayoutView="90" workbookViewId="0">
      <pane xSplit="4" ySplit="6" topLeftCell="E7" activePane="bottomRight" state="frozen"/>
      <selection pane="topRight" activeCell="E1" sqref="E1"/>
      <selection pane="bottomLeft" activeCell="A7" sqref="A7"/>
      <selection pane="bottomRight" activeCell="C36" sqref="C36"/>
    </sheetView>
  </sheetViews>
  <sheetFormatPr defaultRowHeight="12.75"/>
  <cols>
    <col min="1" max="1" width="6.28515625" style="11" customWidth="1"/>
    <col min="2" max="2" width="7.7109375" style="11" customWidth="1"/>
    <col min="3" max="3" width="64.42578125" style="2" bestFit="1" customWidth="1"/>
    <col min="4" max="4" width="13.28515625" style="2" bestFit="1" customWidth="1"/>
    <col min="5" max="10" width="12.7109375" style="2" customWidth="1"/>
    <col min="11" max="11" width="13.28515625" style="2" customWidth="1"/>
    <col min="12" max="13" width="16" style="2" customWidth="1"/>
    <col min="14" max="14" width="14.85546875" style="2" customWidth="1"/>
    <col min="15" max="15" width="12" style="2" customWidth="1"/>
    <col min="16" max="16384" width="9.140625" style="2"/>
  </cols>
  <sheetData>
    <row r="1" spans="1:15" ht="13.5">
      <c r="A1" s="6"/>
      <c r="B1" s="6"/>
      <c r="C1" s="7"/>
      <c r="E1" s="7"/>
      <c r="F1" s="7"/>
      <c r="G1" s="7"/>
      <c r="H1" s="7"/>
      <c r="I1" s="7"/>
      <c r="K1" s="118"/>
      <c r="L1" s="128" t="str">
        <f>'2. Променливи'!R1:R1</f>
        <v>Приложение № 2</v>
      </c>
      <c r="M1" s="128"/>
      <c r="N1" s="23"/>
      <c r="O1" s="23"/>
    </row>
    <row r="2" spans="1:15" s="8" customFormat="1" ht="37.5" customHeight="1">
      <c r="A2" s="3331" t="s">
        <v>498</v>
      </c>
      <c r="B2" s="3331"/>
      <c r="C2" s="3331"/>
      <c r="D2" s="3331"/>
      <c r="E2" s="3331"/>
      <c r="F2" s="3331"/>
      <c r="G2" s="3331"/>
      <c r="H2" s="3331"/>
      <c r="I2" s="3331"/>
      <c r="J2" s="3331"/>
      <c r="K2" s="3331"/>
      <c r="L2" s="3331"/>
      <c r="M2" s="3040"/>
      <c r="N2" s="23"/>
      <c r="O2" s="23"/>
    </row>
    <row r="3" spans="1:15" s="44" customFormat="1" ht="15.75" customHeight="1">
      <c r="A3" s="3310" t="str">
        <f>'1. Анкетна карта'!A3:J3</f>
        <v>на "Водоснабдяване и канализация" ООД , гр. Враца</v>
      </c>
      <c r="B3" s="3310"/>
      <c r="C3" s="3310"/>
      <c r="D3" s="3310"/>
      <c r="E3" s="3310"/>
      <c r="F3" s="3310"/>
      <c r="G3" s="3310"/>
      <c r="H3" s="3310"/>
      <c r="I3" s="3310"/>
      <c r="J3" s="3310"/>
      <c r="K3" s="3310"/>
      <c r="L3" s="3310"/>
      <c r="M3" s="3039"/>
      <c r="N3" s="117"/>
      <c r="O3" s="117"/>
    </row>
    <row r="4" spans="1:15" s="44" customFormat="1" ht="15.75" customHeight="1">
      <c r="A4" s="3310" t="str">
        <f>'1. Анкетна карта'!A4:J4</f>
        <v>ЕИК по БУЛСТАТ: 816090199</v>
      </c>
      <c r="B4" s="3310"/>
      <c r="C4" s="3310"/>
      <c r="D4" s="3310"/>
      <c r="E4" s="3310"/>
      <c r="F4" s="3310"/>
      <c r="G4" s="3310"/>
      <c r="H4" s="3310"/>
      <c r="I4" s="3310"/>
      <c r="J4" s="3310"/>
      <c r="K4" s="3310"/>
      <c r="L4" s="3310"/>
      <c r="M4" s="3039"/>
      <c r="N4" s="117"/>
      <c r="O4" s="117"/>
    </row>
    <row r="5" spans="1:15" s="8" customFormat="1" ht="15" thickBot="1">
      <c r="A5" s="9"/>
      <c r="B5" s="9"/>
      <c r="C5" s="10"/>
      <c r="D5" s="119"/>
      <c r="E5" s="10"/>
      <c r="F5" s="10"/>
      <c r="G5" s="10"/>
      <c r="H5" s="10"/>
      <c r="I5" s="10"/>
      <c r="J5" s="10"/>
      <c r="L5" s="123"/>
      <c r="M5" s="123"/>
      <c r="N5" s="23"/>
      <c r="O5" s="23"/>
    </row>
    <row r="6" spans="1:15" ht="46.5" customHeight="1" thickBot="1">
      <c r="A6" s="2692" t="s">
        <v>1</v>
      </c>
      <c r="B6" s="2693" t="s">
        <v>1043</v>
      </c>
      <c r="C6" s="2694" t="s">
        <v>90</v>
      </c>
      <c r="D6" s="2695" t="s">
        <v>1015</v>
      </c>
      <c r="E6" s="2696" t="str">
        <f>'Приложение '!$G12</f>
        <v>2015 г.</v>
      </c>
      <c r="F6" s="2695" t="str">
        <f>'Приложение '!$G13</f>
        <v>2016 г.</v>
      </c>
      <c r="G6" s="2695" t="str">
        <f>'Приложение '!$G14</f>
        <v>2017 г.</v>
      </c>
      <c r="H6" s="2695" t="str">
        <f>'Приложение '!$G15</f>
        <v>2018 г.</v>
      </c>
      <c r="I6" s="2695" t="str">
        <f>'Приложение '!$G16</f>
        <v>2019 г.</v>
      </c>
      <c r="J6" s="2695" t="str">
        <f>'Приложение '!$G17</f>
        <v>2020 г.</v>
      </c>
      <c r="K6" s="2697" t="str">
        <f>'Приложение '!$G18</f>
        <v>2021 г.</v>
      </c>
      <c r="L6" s="2695" t="str">
        <f>"Качество на информацията за "
&amp;'Приложение '!G12</f>
        <v>Качество на информацията за 2015 г.</v>
      </c>
      <c r="M6" s="2695" t="str">
        <f>"Качество на информацията за "
&amp;'Приложение '!G18</f>
        <v>Качество на информацията за 2021 г.</v>
      </c>
      <c r="N6" s="2698" t="s">
        <v>1050</v>
      </c>
      <c r="O6" s="2699" t="s">
        <v>1051</v>
      </c>
    </row>
    <row r="7" spans="1:15" ht="15" thickBot="1">
      <c r="A7" s="672">
        <v>1</v>
      </c>
      <c r="B7" s="669" t="s">
        <v>136</v>
      </c>
      <c r="C7" s="120" t="s">
        <v>1020</v>
      </c>
      <c r="D7" s="668" t="s">
        <v>226</v>
      </c>
      <c r="E7" s="410">
        <f>'2. Променливи'!E8/'2. Променливи'!E11</f>
        <v>0.99623355158604032</v>
      </c>
      <c r="F7" s="402">
        <f>'2. Променливи'!F8/'2. Променливи'!F11</f>
        <v>0.99734748010610075</v>
      </c>
      <c r="G7" s="402">
        <f>'2. Променливи'!G8/'2. Променливи'!G11</f>
        <v>0.99734748010610075</v>
      </c>
      <c r="H7" s="1928">
        <f>'2. Променливи'!H8/'2. Променливи'!H11</f>
        <v>0.99734748010610075</v>
      </c>
      <c r="I7" s="1928">
        <f>'2. Променливи'!I8/'2. Променливи'!I11</f>
        <v>0.99734748010610075</v>
      </c>
      <c r="J7" s="1928">
        <f>'2. Променливи'!J8/'2. Променливи'!J11</f>
        <v>0.99730458221024254</v>
      </c>
      <c r="K7" s="1929">
        <f>'2. Променливи'!K8/'2. Променливи'!K11</f>
        <v>0.99730458221024254</v>
      </c>
      <c r="L7" s="734">
        <v>1</v>
      </c>
      <c r="M7" s="734">
        <v>1</v>
      </c>
      <c r="N7" s="734">
        <v>1</v>
      </c>
      <c r="O7" s="2020">
        <v>0.99</v>
      </c>
    </row>
    <row r="8" spans="1:15" ht="15" thickBot="1">
      <c r="A8" s="672">
        <v>2</v>
      </c>
      <c r="B8" s="670" t="s">
        <v>137</v>
      </c>
      <c r="C8" s="48" t="s">
        <v>1021</v>
      </c>
      <c r="D8" s="668" t="s">
        <v>226</v>
      </c>
      <c r="E8" s="401">
        <f>'2. Променливи'!E32/'2. Променливи'!E37</f>
        <v>1</v>
      </c>
      <c r="F8" s="402">
        <f>'2. Променливи'!F32/'2. Променливи'!F37</f>
        <v>1</v>
      </c>
      <c r="G8" s="402">
        <f>'2. Променливи'!G32/'2. Променливи'!G37</f>
        <v>1</v>
      </c>
      <c r="H8" s="1928">
        <f>'2. Променливи'!H32/'2. Променливи'!H37</f>
        <v>1</v>
      </c>
      <c r="I8" s="1928">
        <f>'2. Променливи'!I32/'2. Променливи'!I37</f>
        <v>1</v>
      </c>
      <c r="J8" s="1928">
        <f>'2. Променливи'!J32/'2. Променливи'!J37</f>
        <v>1</v>
      </c>
      <c r="K8" s="1929">
        <f>'2. Променливи'!K32/'2. Променливи'!K37</f>
        <v>1</v>
      </c>
      <c r="L8" s="734">
        <v>1</v>
      </c>
      <c r="M8" s="734">
        <v>1</v>
      </c>
      <c r="N8" s="734">
        <v>1</v>
      </c>
      <c r="O8" s="2021">
        <v>0.99</v>
      </c>
    </row>
    <row r="9" spans="1:15" ht="15" thickBot="1">
      <c r="A9" s="672">
        <v>3</v>
      </c>
      <c r="B9" s="670" t="s">
        <v>138</v>
      </c>
      <c r="C9" s="48" t="s">
        <v>1022</v>
      </c>
      <c r="D9" s="668" t="s">
        <v>226</v>
      </c>
      <c r="E9" s="401">
        <f>'2. Променливи'!E42/'2. Променливи'!E47</f>
        <v>0.99657950744907264</v>
      </c>
      <c r="F9" s="402">
        <f>'2. Променливи'!F42/'2. Променливи'!F47</f>
        <v>0.95027013230101676</v>
      </c>
      <c r="G9" s="402">
        <f>'2. Променливи'!G42/'2. Променливи'!G47</f>
        <v>0.9500170784469999</v>
      </c>
      <c r="H9" s="1928">
        <f>'2. Променливи'!H42/'2. Променливи'!H47</f>
        <v>0.9505038529934795</v>
      </c>
      <c r="I9" s="1928">
        <f>'2. Променливи'!I42/'2. Променливи'!I47</f>
        <v>0.95040295247420348</v>
      </c>
      <c r="J9" s="1928">
        <f>'2. Променливи'!J42/'2. Променливи'!J47</f>
        <v>0.95018748934719621</v>
      </c>
      <c r="K9" s="1929">
        <f>'2. Променливи'!K42/'2. Променливи'!K47</f>
        <v>0.95001518141794439</v>
      </c>
      <c r="L9" s="734">
        <v>1</v>
      </c>
      <c r="M9" s="734">
        <v>1</v>
      </c>
      <c r="N9" s="734">
        <v>1</v>
      </c>
      <c r="O9" s="2021">
        <v>0.98</v>
      </c>
    </row>
    <row r="10" spans="1:15" ht="15" thickBot="1">
      <c r="A10" s="672">
        <v>4</v>
      </c>
      <c r="B10" s="670" t="s">
        <v>139</v>
      </c>
      <c r="C10" s="48" t="s">
        <v>1023</v>
      </c>
      <c r="D10" s="668" t="s">
        <v>226</v>
      </c>
      <c r="E10" s="401">
        <f>'2. Променливи'!E52/'2. Променливи'!E53</f>
        <v>1</v>
      </c>
      <c r="F10" s="402">
        <f>'2. Променливи'!F52/'2. Променливи'!F53</f>
        <v>1</v>
      </c>
      <c r="G10" s="402">
        <f>'2. Променливи'!G52/'2. Променливи'!G53</f>
        <v>1</v>
      </c>
      <c r="H10" s="1928">
        <f>'2. Променливи'!H52/'2. Променливи'!H53</f>
        <v>1</v>
      </c>
      <c r="I10" s="1928">
        <f>'2. Променливи'!I52/'2. Променливи'!I53</f>
        <v>1</v>
      </c>
      <c r="J10" s="1928">
        <f>'2. Променливи'!J52/'2. Променливи'!J53</f>
        <v>1</v>
      </c>
      <c r="K10" s="1929">
        <f>'2. Променливи'!K52/'2. Променливи'!K53</f>
        <v>1</v>
      </c>
      <c r="L10" s="734">
        <v>1</v>
      </c>
      <c r="M10" s="734">
        <v>1</v>
      </c>
      <c r="N10" s="734">
        <v>1</v>
      </c>
      <c r="O10" s="2021">
        <v>1</v>
      </c>
    </row>
    <row r="11" spans="1:15" ht="15" thickBot="1">
      <c r="A11" s="672">
        <v>5</v>
      </c>
      <c r="B11" s="670" t="s">
        <v>140</v>
      </c>
      <c r="C11" s="48" t="s">
        <v>1024</v>
      </c>
      <c r="D11" s="668" t="s">
        <v>1472</v>
      </c>
      <c r="E11" s="403">
        <f>'2. Променливи'!E56/('2. Променливи'!E8*24*365)*1000</f>
        <v>0</v>
      </c>
      <c r="F11" s="404">
        <f>'2. Променливи'!F56/('2. Променливи'!F8*24*365)*1000</f>
        <v>0</v>
      </c>
      <c r="G11" s="404">
        <f>'2. Променливи'!G56/('2. Променливи'!G8*24*365)*1000</f>
        <v>0</v>
      </c>
      <c r="H11" s="1930">
        <f>'2. Променливи'!H56/('2. Променливи'!H8*24*365)*1000</f>
        <v>0</v>
      </c>
      <c r="I11" s="1930">
        <f>'2. Променливи'!I56/('2. Променливи'!I8*24*365)*1000</f>
        <v>0</v>
      </c>
      <c r="J11" s="1930">
        <f>'2. Променливи'!J56/('2. Променливи'!J8*24*365)*1000</f>
        <v>0</v>
      </c>
      <c r="K11" s="1931">
        <f>'2. Променливи'!K56/('2. Променливи'!K8*24*365)*1000</f>
        <v>0</v>
      </c>
      <c r="L11" s="734">
        <v>1</v>
      </c>
      <c r="M11" s="734">
        <v>1</v>
      </c>
      <c r="N11" s="734">
        <v>1</v>
      </c>
      <c r="O11" s="2022">
        <v>8</v>
      </c>
    </row>
    <row r="12" spans="1:15" ht="15" thickBot="1">
      <c r="A12" s="672">
        <v>6</v>
      </c>
      <c r="B12" s="670" t="s">
        <v>1013</v>
      </c>
      <c r="C12" s="48" t="s">
        <v>1025</v>
      </c>
      <c r="D12" s="668" t="s">
        <v>1483</v>
      </c>
      <c r="E12" s="403">
        <f>'2. Променливи'!E63/'2. Променливи'!E24/365</f>
        <v>14.416591150425468</v>
      </c>
      <c r="F12" s="403">
        <f>'2. Променливи'!F63/'2. Променливи'!F24/365</f>
        <v>13.713332980977594</v>
      </c>
      <c r="G12" s="403">
        <f>'2. Променливи'!G63/'2. Променливи'!G24/365</f>
        <v>14.220975096457384</v>
      </c>
      <c r="H12" s="1932">
        <f>'2. Променливи'!H63/'2. Променливи'!H24/365</f>
        <v>14.220975096457384</v>
      </c>
      <c r="I12" s="1932">
        <f>'2. Променливи'!I63/'2. Променливи'!I24/365</f>
        <v>14.220975096457384</v>
      </c>
      <c r="J12" s="1932">
        <f>'2. Променливи'!J63/'2. Променливи'!J24/365</f>
        <v>13.304151871729699</v>
      </c>
      <c r="K12" s="1933">
        <f>'2. Променливи'!K63/'2. Променливи'!K24/365</f>
        <v>12.247565141767128</v>
      </c>
      <c r="L12" s="734">
        <v>1</v>
      </c>
      <c r="M12" s="734">
        <v>1</v>
      </c>
      <c r="N12" s="734">
        <v>1</v>
      </c>
      <c r="O12" s="2022">
        <v>15</v>
      </c>
    </row>
    <row r="13" spans="1:15" ht="15" thickBot="1">
      <c r="A13" s="672">
        <v>7</v>
      </c>
      <c r="B13" s="670" t="s">
        <v>1014</v>
      </c>
      <c r="C13" s="48" t="s">
        <v>1025</v>
      </c>
      <c r="D13" s="668" t="s">
        <v>226</v>
      </c>
      <c r="E13" s="401">
        <f>'2. Променливи'!E63/'2. Променливи'!E61</f>
        <v>0.65606158935126435</v>
      </c>
      <c r="F13" s="401">
        <f>'2. Променливи'!F63/'2. Променливи'!F61</f>
        <v>0.64850261304249035</v>
      </c>
      <c r="G13" s="401">
        <f>'2. Променливи'!G63/'2. Променливи'!G61</f>
        <v>0.63783143793479391</v>
      </c>
      <c r="H13" s="1934">
        <f>'2. Променливи'!H63/'2. Променливи'!H61</f>
        <v>0.63783143793479391</v>
      </c>
      <c r="I13" s="1934">
        <f>'2. Променливи'!I63/'2. Променливи'!I61</f>
        <v>0.63783143793479391</v>
      </c>
      <c r="J13" s="1934">
        <f>'2. Променливи'!J63/'2. Променливи'!J61</f>
        <v>0.62929545454545455</v>
      </c>
      <c r="K13" s="1935">
        <f>'2. Променливи'!K63/'2. Променливи'!K61</f>
        <v>0.6201946472019465</v>
      </c>
      <c r="L13" s="734">
        <v>1</v>
      </c>
      <c r="M13" s="734">
        <v>1</v>
      </c>
      <c r="N13" s="734">
        <v>1</v>
      </c>
      <c r="O13" s="2021">
        <v>0.49</v>
      </c>
    </row>
    <row r="14" spans="1:15" ht="15" thickBot="1">
      <c r="A14" s="672">
        <v>8</v>
      </c>
      <c r="B14" s="670" t="s">
        <v>141</v>
      </c>
      <c r="C14" s="48" t="s">
        <v>1026</v>
      </c>
      <c r="D14" s="668" t="s">
        <v>1018</v>
      </c>
      <c r="E14" s="403">
        <f>'2. Променливи'!E57/'2. Променливи'!E23*100</f>
        <v>114.14961185603387</v>
      </c>
      <c r="F14" s="403">
        <f>'2. Променливи'!F57/'2. Променливи'!F23*100</f>
        <v>112.91460832745237</v>
      </c>
      <c r="G14" s="403">
        <f>'2. Променливи'!G57/'2. Променливи'!G23*100</f>
        <v>138.07339449541286</v>
      </c>
      <c r="H14" s="1932">
        <f>'2. Променливи'!H57/'2. Променливи'!H23*100</f>
        <v>138.07339449541286</v>
      </c>
      <c r="I14" s="1932">
        <f>'2. Променливи'!I57/'2. Променливи'!I23*100</f>
        <v>138.07339449541286</v>
      </c>
      <c r="J14" s="1932">
        <f>'2. Променливи'!J57/'2. Променливи'!J23*100</f>
        <v>123.50035285815102</v>
      </c>
      <c r="K14" s="1933">
        <f>'2. Променливи'!K57/'2. Променливи'!K23*100</f>
        <v>123.50035285815102</v>
      </c>
      <c r="L14" s="734">
        <v>1</v>
      </c>
      <c r="M14" s="734">
        <v>1</v>
      </c>
      <c r="N14" s="734">
        <v>1</v>
      </c>
      <c r="O14" s="2022">
        <v>60</v>
      </c>
    </row>
    <row r="15" spans="1:15" ht="15" thickBot="1">
      <c r="A15" s="672">
        <v>9</v>
      </c>
      <c r="B15" s="670" t="s">
        <v>142</v>
      </c>
      <c r="C15" s="121" t="s">
        <v>1027</v>
      </c>
      <c r="D15" s="668" t="s">
        <v>226</v>
      </c>
      <c r="E15" s="401">
        <f>'2. Променливи'!E71/'2. Променливи'!E25</f>
        <v>0</v>
      </c>
      <c r="F15" s="401">
        <f>'2. Променливи'!F71/'2. Променливи'!F25</f>
        <v>0</v>
      </c>
      <c r="G15" s="401">
        <f>'2. Променливи'!G71/'2. Променливи'!G25</f>
        <v>0</v>
      </c>
      <c r="H15" s="1934">
        <f>'2. Променливи'!H71/'2. Променливи'!H25</f>
        <v>0</v>
      </c>
      <c r="I15" s="1934">
        <f>'2. Променливи'!I71/'2. Променливи'!I25</f>
        <v>0</v>
      </c>
      <c r="J15" s="1934">
        <f>'2. Променливи'!J71/'2. Променливи'!J25</f>
        <v>0</v>
      </c>
      <c r="K15" s="1935">
        <f>'2. Променливи'!K71/'2. Променливи'!K25</f>
        <v>0</v>
      </c>
      <c r="L15" s="734">
        <v>1</v>
      </c>
      <c r="M15" s="734">
        <v>1</v>
      </c>
      <c r="N15" s="734">
        <v>1</v>
      </c>
      <c r="O15" s="2021">
        <v>1</v>
      </c>
    </row>
    <row r="16" spans="1:15" ht="15" thickBot="1">
      <c r="A16" s="672">
        <v>10</v>
      </c>
      <c r="B16" s="670" t="s">
        <v>143</v>
      </c>
      <c r="C16" s="48" t="s">
        <v>1028</v>
      </c>
      <c r="D16" s="668" t="s">
        <v>226</v>
      </c>
      <c r="E16" s="401">
        <f>'2. Променливи'!E9/'2. Променливи'!E11</f>
        <v>0.56216493971563575</v>
      </c>
      <c r="F16" s="402">
        <f>'2. Променливи'!F9/'2. Променливи'!F11</f>
        <v>0.56297612732095492</v>
      </c>
      <c r="G16" s="402">
        <f>'2. Променливи'!G9/'2. Променливи'!G11</f>
        <v>0.56308222811671083</v>
      </c>
      <c r="H16" s="1928">
        <f>'2. Променливи'!H9/'2. Променливи'!H11</f>
        <v>0.56320954907161802</v>
      </c>
      <c r="I16" s="1928">
        <f>'2. Променливи'!I9/'2. Променливи'!I11</f>
        <v>0.56336870026525199</v>
      </c>
      <c r="J16" s="1928">
        <f>'2. Променливи'!J9/'2. Променливи'!J11</f>
        <v>0.57274932614555252</v>
      </c>
      <c r="K16" s="1929">
        <f>'2. Променливи'!K9/'2. Променливи'!K11</f>
        <v>0.57285714285714284</v>
      </c>
      <c r="L16" s="734">
        <v>1</v>
      </c>
      <c r="M16" s="734">
        <v>1</v>
      </c>
      <c r="N16" s="734">
        <v>1</v>
      </c>
      <c r="O16" s="2021">
        <v>0.75</v>
      </c>
    </row>
    <row r="17" spans="1:15" ht="15" thickBot="1">
      <c r="A17" s="672">
        <v>11</v>
      </c>
      <c r="B17" s="670" t="s">
        <v>144</v>
      </c>
      <c r="C17" s="48" t="s">
        <v>1029</v>
      </c>
      <c r="D17" s="668" t="s">
        <v>226</v>
      </c>
      <c r="E17" s="401">
        <f>'2. Променливи'!E10/'2. Променливи'!E11</f>
        <v>0.51733837645413516</v>
      </c>
      <c r="F17" s="402">
        <f>'2. Променливи'!F10/'2. Променливи'!F11</f>
        <v>0.51808488063660474</v>
      </c>
      <c r="G17" s="402">
        <f>'2. Променливи'!G10/'2. Променливи'!G11</f>
        <v>0.51819098143236075</v>
      </c>
      <c r="H17" s="1928">
        <f>'2. Променливи'!H10/'2. Променливи'!H11</f>
        <v>0.51829708222811666</v>
      </c>
      <c r="I17" s="1928">
        <f>'2. Променливи'!I10/'2. Променливи'!I11</f>
        <v>0.51845623342175062</v>
      </c>
      <c r="J17" s="1928">
        <f>'2. Променливи'!J10/'2. Променливи'!J11</f>
        <v>0.52711051212938009</v>
      </c>
      <c r="K17" s="1929">
        <f>'2. Променливи'!K10/'2. Променливи'!K11</f>
        <v>0.52721832884097031</v>
      </c>
      <c r="L17" s="734">
        <v>1</v>
      </c>
      <c r="M17" s="734">
        <v>1</v>
      </c>
      <c r="N17" s="734">
        <v>1</v>
      </c>
      <c r="O17" s="2021">
        <v>0.75</v>
      </c>
    </row>
    <row r="18" spans="1:15" ht="15" thickBot="1">
      <c r="A18" s="672">
        <v>12</v>
      </c>
      <c r="B18" s="670" t="s">
        <v>145</v>
      </c>
      <c r="C18" s="48" t="s">
        <v>1030</v>
      </c>
      <c r="D18" s="668" t="s">
        <v>226</v>
      </c>
      <c r="E18" s="401" t="e">
        <f>'2. Променливи'!E54/'2. Променливи'!E55</f>
        <v>#DIV/0!</v>
      </c>
      <c r="F18" s="402" t="e">
        <f>'2. Променливи'!F54/'2. Променливи'!F55</f>
        <v>#DIV/0!</v>
      </c>
      <c r="G18" s="402" t="e">
        <f>'2. Променливи'!G54/'2. Променливи'!G55</f>
        <v>#DIV/0!</v>
      </c>
      <c r="H18" s="1928" t="e">
        <f>'2. Променливи'!H54/'2. Променливи'!H55</f>
        <v>#DIV/0!</v>
      </c>
      <c r="I18" s="1928" t="e">
        <f>'2. Променливи'!I54/'2. Променливи'!I55</f>
        <v>#DIV/0!</v>
      </c>
      <c r="J18" s="1928" t="e">
        <f>'2. Променливи'!J54/'2. Променливи'!J55</f>
        <v>#DIV/0!</v>
      </c>
      <c r="K18" s="1929" t="e">
        <f>'2. Променливи'!K54/'2. Променливи'!K55</f>
        <v>#DIV/0!</v>
      </c>
      <c r="L18" s="734">
        <v>1</v>
      </c>
      <c r="M18" s="734">
        <v>1</v>
      </c>
      <c r="N18" s="734">
        <v>1</v>
      </c>
      <c r="O18" s="2021">
        <v>0.93</v>
      </c>
    </row>
    <row r="19" spans="1:15" ht="15" thickBot="1">
      <c r="A19" s="672">
        <v>13</v>
      </c>
      <c r="B19" s="670" t="s">
        <v>146</v>
      </c>
      <c r="C19" s="48" t="s">
        <v>1031</v>
      </c>
      <c r="D19" s="668" t="s">
        <v>1018</v>
      </c>
      <c r="E19" s="405">
        <f>('2. Променливи'!E58+'2. Променливи'!E59+'2. Променливи'!E60)/'2. Променливи'!E29*100</f>
        <v>112.5925925925926</v>
      </c>
      <c r="F19" s="405">
        <f>('2. Променливи'!F58+'2. Променливи'!F59+'2. Променливи'!F60)/'2. Променливи'!F29*100</f>
        <v>142.85714285714286</v>
      </c>
      <c r="G19" s="405">
        <f>('2. Променливи'!G58+'2. Променливи'!G59+'2. Променливи'!G60)/'2. Променливи'!G29*100</f>
        <v>112.96296296296295</v>
      </c>
      <c r="H19" s="1936">
        <f>('2. Променливи'!H58+'2. Променливи'!H59+'2. Променливи'!H60)/'2. Променливи'!H29*100</f>
        <v>105.35714285714286</v>
      </c>
      <c r="I19" s="1936">
        <f>('2. Променливи'!I58+'2. Променливи'!I59+'2. Променливи'!I60)/'2. Променливи'!I29*100</f>
        <v>87.857142857142861</v>
      </c>
      <c r="J19" s="1936">
        <f>('2. Променливи'!J58+'2. Променливи'!J59+'2. Променливи'!J60)/'2. Променливи'!J29*100</f>
        <v>86.428571428571431</v>
      </c>
      <c r="K19" s="1937">
        <f>('2. Променливи'!K58+'2. Променливи'!K59+'2. Променливи'!K60)/'2. Променливи'!K29*100</f>
        <v>84.285714285714292</v>
      </c>
      <c r="L19" s="734">
        <v>1</v>
      </c>
      <c r="M19" s="734">
        <v>1</v>
      </c>
      <c r="N19" s="734">
        <v>1</v>
      </c>
      <c r="O19" s="2022">
        <v>120</v>
      </c>
    </row>
    <row r="20" spans="1:15" ht="15" thickBot="1">
      <c r="A20" s="672">
        <v>14</v>
      </c>
      <c r="B20" s="670" t="s">
        <v>147</v>
      </c>
      <c r="C20" s="121" t="s">
        <v>1032</v>
      </c>
      <c r="D20" s="668" t="s">
        <v>1019</v>
      </c>
      <c r="E20" s="405">
        <f>'2. Променливи'!E103/'2. Променливи'!E12*10000</f>
        <v>0</v>
      </c>
      <c r="F20" s="406">
        <f>'2. Променливи'!F103/'2. Променливи'!F12*10000</f>
        <v>0</v>
      </c>
      <c r="G20" s="406">
        <f>'2. Променливи'!G103/'2. Променливи'!G12*10000</f>
        <v>0</v>
      </c>
      <c r="H20" s="1938">
        <f>'2. Променливи'!H103/'2. Променливи'!H12*10000</f>
        <v>0</v>
      </c>
      <c r="I20" s="1938">
        <f>'2. Променливи'!I103/'2. Променливи'!I12*10000</f>
        <v>0</v>
      </c>
      <c r="J20" s="1938">
        <f>'2. Променливи'!J103/'2. Променливи'!J12*10000</f>
        <v>0</v>
      </c>
      <c r="K20" s="1939">
        <f>'2. Променливи'!K103/'2. Променливи'!K12*10000</f>
        <v>0</v>
      </c>
      <c r="L20" s="734">
        <v>1</v>
      </c>
      <c r="M20" s="734">
        <v>1</v>
      </c>
      <c r="N20" s="734">
        <v>1</v>
      </c>
      <c r="O20" s="2022">
        <v>0.5</v>
      </c>
    </row>
    <row r="21" spans="1:15" ht="15" thickBot="1">
      <c r="A21" s="672">
        <v>15</v>
      </c>
      <c r="B21" s="670" t="s">
        <v>148</v>
      </c>
      <c r="C21" s="121" t="s">
        <v>1033</v>
      </c>
      <c r="D21" s="668" t="s">
        <v>1484</v>
      </c>
      <c r="E21" s="403">
        <f>'2. Променливи'!E78/'2. Променливи'!E61</f>
        <v>0.50412503815552057</v>
      </c>
      <c r="F21" s="403">
        <f>'2. Променливи'!F78/'2. Променливи'!F61</f>
        <v>0.51631783685526011</v>
      </c>
      <c r="G21" s="403">
        <f>'2. Променливи'!G78/'2. Променливи'!G61</f>
        <v>0.48919535553188359</v>
      </c>
      <c r="H21" s="1932">
        <f>'2. Променливи'!H78/'2. Променливи'!H61</f>
        <v>0.48919535553188359</v>
      </c>
      <c r="I21" s="1932">
        <f>'2. Променливи'!I78/'2. Променливи'!I61</f>
        <v>0.48919535553188359</v>
      </c>
      <c r="J21" s="1932">
        <f>'2. Променливи'!J78/'2. Променливи'!J61</f>
        <v>0.51590909090909087</v>
      </c>
      <c r="K21" s="1933">
        <f>'2. Променливи'!K78/'2. Променливи'!K61</f>
        <v>0.55231143552311435</v>
      </c>
      <c r="L21" s="734">
        <v>1</v>
      </c>
      <c r="M21" s="734">
        <v>1</v>
      </c>
      <c r="N21" s="734">
        <v>1</v>
      </c>
      <c r="O21" s="2022">
        <v>0.45</v>
      </c>
    </row>
    <row r="22" spans="1:15" ht="15" thickBot="1">
      <c r="A22" s="672">
        <v>16</v>
      </c>
      <c r="B22" s="670" t="s">
        <v>149</v>
      </c>
      <c r="C22" s="121" t="s">
        <v>1034</v>
      </c>
      <c r="D22" s="668" t="s">
        <v>1484</v>
      </c>
      <c r="E22" s="407">
        <f>'2. Променливи'!E79/'2. Променливи'!E64</f>
        <v>0.14928290239553979</v>
      </c>
      <c r="F22" s="408">
        <f>'2. Променливи'!F79/'2. Променливи'!F64</f>
        <v>0.13368708994056067</v>
      </c>
      <c r="G22" s="408">
        <f>'2. Променливи'!G79/'2. Променливи'!G64</f>
        <v>0.15425433454680076</v>
      </c>
      <c r="H22" s="1940">
        <f>'2. Променливи'!H79/'2. Променливи'!H64</f>
        <v>0.1480867195829878</v>
      </c>
      <c r="I22" s="1940">
        <f>'2. Променливи'!I79/'2. Променливи'!I64</f>
        <v>0.1480867195829878</v>
      </c>
      <c r="J22" s="1940">
        <f>'2. Променливи'!J79/'2. Променливи'!J64</f>
        <v>0.1480867195829878</v>
      </c>
      <c r="K22" s="1941">
        <f>'2. Променливи'!K79/'2. Променливи'!K64</f>
        <v>0.1480867195829878</v>
      </c>
      <c r="L22" s="734">
        <v>1</v>
      </c>
      <c r="M22" s="734">
        <v>1</v>
      </c>
      <c r="N22" s="734">
        <v>1</v>
      </c>
      <c r="O22" s="2022">
        <v>0.25</v>
      </c>
    </row>
    <row r="23" spans="1:15" ht="15" thickBot="1">
      <c r="A23" s="672">
        <v>17</v>
      </c>
      <c r="B23" s="670" t="s">
        <v>150</v>
      </c>
      <c r="C23" s="48" t="s">
        <v>1035</v>
      </c>
      <c r="D23" s="668" t="s">
        <v>226</v>
      </c>
      <c r="E23" s="401">
        <f>'2. Променливи'!E80/'2. Променливи'!E81</f>
        <v>1</v>
      </c>
      <c r="F23" s="402">
        <f>'2. Променливи'!F80/'2. Променливи'!F81</f>
        <v>0.28688524590163933</v>
      </c>
      <c r="G23" s="402">
        <f>'2. Променливи'!G80/'2. Променливи'!G81</f>
        <v>1</v>
      </c>
      <c r="H23" s="1928">
        <f>'2. Променливи'!H80/'2. Променливи'!H81</f>
        <v>1</v>
      </c>
      <c r="I23" s="1928">
        <f>'2. Променливи'!I80/'2. Променливи'!I81</f>
        <v>1</v>
      </c>
      <c r="J23" s="1928">
        <f>'2. Променливи'!J80/'2. Променливи'!J81</f>
        <v>1</v>
      </c>
      <c r="K23" s="1929">
        <f>'2. Променливи'!K80/'2. Променливи'!K81</f>
        <v>1</v>
      </c>
      <c r="L23" s="734">
        <v>1</v>
      </c>
      <c r="M23" s="734">
        <v>1</v>
      </c>
      <c r="N23" s="734">
        <v>1</v>
      </c>
      <c r="O23" s="2021">
        <v>1</v>
      </c>
    </row>
    <row r="24" spans="1:15" ht="15" thickBot="1">
      <c r="A24" s="672">
        <v>18</v>
      </c>
      <c r="B24" s="670" t="s">
        <v>151</v>
      </c>
      <c r="C24" s="48" t="s">
        <v>1036</v>
      </c>
      <c r="D24" s="668" t="s">
        <v>226</v>
      </c>
      <c r="E24" s="401">
        <f>'2. Променливи'!E76/'2. Променливи'!E23</f>
        <v>2.0465772759350742E-2</v>
      </c>
      <c r="F24" s="402">
        <f>'2. Променливи'!F76/'2. Променливи'!F23</f>
        <v>1.9407198306280876E-2</v>
      </c>
      <c r="G24" s="402">
        <f>'2. Променливи'!G76/'2. Променливи'!G23</f>
        <v>1.9760056457304165E-2</v>
      </c>
      <c r="H24" s="1928">
        <f>'2. Променливи'!H76/'2. Променливи'!H23</f>
        <v>1.9407198306280876E-2</v>
      </c>
      <c r="I24" s="1928">
        <f>'2. Променливи'!I76/'2. Променливи'!I23</f>
        <v>1.8701482004234299E-2</v>
      </c>
      <c r="J24" s="1928">
        <f>'2. Променливи'!J76/'2. Променливи'!J23</f>
        <v>1.834862385321101E-2</v>
      </c>
      <c r="K24" s="1929">
        <f>'2. Променливи'!K76/'2. Променливи'!K23</f>
        <v>1.7642907551164433E-2</v>
      </c>
      <c r="L24" s="734">
        <v>1</v>
      </c>
      <c r="M24" s="734">
        <v>1</v>
      </c>
      <c r="N24" s="734">
        <v>1</v>
      </c>
      <c r="O24" s="2023">
        <v>1.2500000000000001E-2</v>
      </c>
    </row>
    <row r="25" spans="1:15" ht="15" thickBot="1">
      <c r="A25" s="672">
        <v>19</v>
      </c>
      <c r="B25" s="670" t="s">
        <v>1044</v>
      </c>
      <c r="C25" s="48" t="s">
        <v>1045</v>
      </c>
      <c r="D25" s="668" t="s">
        <v>226</v>
      </c>
      <c r="E25" s="401">
        <f>'2. Променливи'!E77/'2. Променливи'!E23</f>
        <v>3.8814396612561752E-2</v>
      </c>
      <c r="F25" s="401">
        <f>'2. Променливи'!F77/'2. Променливи'!F23</f>
        <v>3.5285815102328866E-2</v>
      </c>
      <c r="G25" s="401">
        <f>'2. Променливи'!G77/'2. Променливи'!G23</f>
        <v>3.1757233592095979E-2</v>
      </c>
      <c r="H25" s="1934">
        <f>'2. Променливи'!H77/'2. Променливи'!H23</f>
        <v>2.8228652081863093E-2</v>
      </c>
      <c r="I25" s="1934">
        <f>'2. Променливи'!I77/'2. Променливи'!I23</f>
        <v>2.4700070571630206E-2</v>
      </c>
      <c r="J25" s="1934">
        <f>'2. Променливи'!J77/'2. Променливи'!J23</f>
        <v>2.1171489061397319E-2</v>
      </c>
      <c r="K25" s="1934">
        <f>'2. Променливи'!K77/'2. Променливи'!K23</f>
        <v>1.2350035285815103E-2</v>
      </c>
      <c r="L25" s="734">
        <v>1</v>
      </c>
      <c r="M25" s="734">
        <v>1</v>
      </c>
      <c r="N25" s="734">
        <v>1</v>
      </c>
      <c r="O25" s="2023">
        <v>1.2500000000000001E-2</v>
      </c>
    </row>
    <row r="26" spans="1:15" ht="15" thickBot="1">
      <c r="A26" s="672">
        <v>20</v>
      </c>
      <c r="B26" s="670" t="s">
        <v>152</v>
      </c>
      <c r="C26" s="48" t="s">
        <v>55</v>
      </c>
      <c r="D26" s="668" t="s">
        <v>1472</v>
      </c>
      <c r="E26" s="403">
        <f>'2. Променливи'!E82/'2. Променливи'!E83</f>
        <v>0.99983147281238749</v>
      </c>
      <c r="F26" s="404">
        <f>'2. Променливи'!F82/'2. Променливи'!F83</f>
        <v>1.0649581540075967</v>
      </c>
      <c r="G26" s="404">
        <f>'2. Променливи'!G82/'2. Променливи'!G83</f>
        <v>1.0724592392452983</v>
      </c>
      <c r="H26" s="1930">
        <f>'2. Променливи'!H82/'2. Променливи'!H83</f>
        <v>1.071892144137585</v>
      </c>
      <c r="I26" s="1930">
        <f>'2. Променливи'!I82/'2. Променливи'!I83</f>
        <v>1.0716292186695664</v>
      </c>
      <c r="J26" s="1930">
        <f>'2. Променливи'!J82/'2. Променливи'!J83</f>
        <v>1.0711374669449059</v>
      </c>
      <c r="K26" s="1931">
        <f>'2. Променливи'!K82/'2. Променливи'!K83</f>
        <v>1.0678918514011499</v>
      </c>
      <c r="L26" s="734">
        <v>1</v>
      </c>
      <c r="M26" s="734">
        <v>1</v>
      </c>
      <c r="N26" s="734">
        <v>1</v>
      </c>
      <c r="O26" s="2022">
        <v>1.1000000000000001</v>
      </c>
    </row>
    <row r="27" spans="1:15" ht="15" thickBot="1">
      <c r="A27" s="672">
        <v>21</v>
      </c>
      <c r="B27" s="670" t="s">
        <v>153</v>
      </c>
      <c r="C27" s="48" t="s">
        <v>58</v>
      </c>
      <c r="D27" s="668" t="s">
        <v>1472</v>
      </c>
      <c r="E27" s="403">
        <f>'2. Променливи'!E84/'2. Променливи'!E85</f>
        <v>1.2900717488789237</v>
      </c>
      <c r="F27" s="404">
        <f>'2. Променливи'!F84/'2. Променливи'!F85</f>
        <v>1.3814306038421589</v>
      </c>
      <c r="G27" s="404">
        <f>'2. Променливи'!G84/'2. Променливи'!G85</f>
        <v>1.2636665245869287</v>
      </c>
      <c r="H27" s="1930">
        <f>'2. Променливи'!H84/'2. Променливи'!H85</f>
        <v>1.2281109111481334</v>
      </c>
      <c r="I27" s="1930">
        <f>'2. Променливи'!I84/'2. Променливи'!I85</f>
        <v>1.1972608917577094</v>
      </c>
      <c r="J27" s="1930">
        <f>'2. Променливи'!J84/'2. Променливи'!J85</f>
        <v>1.1835007735592877</v>
      </c>
      <c r="K27" s="1931">
        <f>'2. Променливи'!K84/'2. Променливи'!K85</f>
        <v>1.1638642876184917</v>
      </c>
      <c r="L27" s="734">
        <v>1</v>
      </c>
      <c r="M27" s="734">
        <v>1</v>
      </c>
      <c r="N27" s="734">
        <v>1</v>
      </c>
      <c r="O27" s="2022">
        <v>1.1000000000000001</v>
      </c>
    </row>
    <row r="28" spans="1:15" ht="15" thickBot="1">
      <c r="A28" s="672">
        <v>22</v>
      </c>
      <c r="B28" s="670" t="s">
        <v>154</v>
      </c>
      <c r="C28" s="48" t="s">
        <v>61</v>
      </c>
      <c r="D28" s="668" t="s">
        <v>1472</v>
      </c>
      <c r="E28" s="403">
        <f>'2. Променливи'!E86/'2. Променливи'!E87</f>
        <v>1.5305524390243903</v>
      </c>
      <c r="F28" s="404">
        <f>'2. Променливи'!F86/'2. Променливи'!F87</f>
        <v>1.3104536808471363</v>
      </c>
      <c r="G28" s="404">
        <f>'2. Променливи'!G86/'2. Променливи'!G87</f>
        <v>1.0353331462994027</v>
      </c>
      <c r="H28" s="1930">
        <f>'2. Променливи'!H86/'2. Променливи'!H87</f>
        <v>1.0617208598963828</v>
      </c>
      <c r="I28" s="1930">
        <f>'2. Променливи'!I86/'2. Променливи'!I87</f>
        <v>1.0597917895632025</v>
      </c>
      <c r="J28" s="1930">
        <f>'2. Променливи'!J86/'2. Променливи'!J87</f>
        <v>1.0565641336854361</v>
      </c>
      <c r="K28" s="1931">
        <f>'2. Променливи'!K86/'2. Променливи'!K87</f>
        <v>1.0563572928490594</v>
      </c>
      <c r="L28" s="734">
        <v>1</v>
      </c>
      <c r="M28" s="734">
        <v>1</v>
      </c>
      <c r="N28" s="734">
        <v>1</v>
      </c>
      <c r="O28" s="2022">
        <v>1.1000000000000001</v>
      </c>
    </row>
    <row r="29" spans="1:15" ht="15" thickBot="1">
      <c r="A29" s="672">
        <v>23</v>
      </c>
      <c r="B29" s="670" t="s">
        <v>155</v>
      </c>
      <c r="C29" s="48" t="s">
        <v>1037</v>
      </c>
      <c r="D29" s="668" t="s">
        <v>226</v>
      </c>
      <c r="E29" s="401">
        <f>('2. Променливи'!E88-('2. Променливи'!E89-'2. Променливи'!E90))/('2. Променливи'!E88+'2. Променливи'!E90)</f>
        <v>0.85737343615385875</v>
      </c>
      <c r="F29" s="402">
        <f>('2. Променливи'!F88-('2. Променливи'!F89-'2. Променливи'!F90))/('2. Променливи'!F88+'2. Променливи'!F90)</f>
        <v>0.8506322763885289</v>
      </c>
      <c r="G29" s="402">
        <f>('2. Променливи'!G88-('2. Променливи'!G89-'2. Променливи'!G90))/('2. Променливи'!G88+'2. Променливи'!G90)</f>
        <v>0.85846654210516915</v>
      </c>
      <c r="H29" s="1928">
        <f>('2. Променливи'!H88-('2. Променливи'!H89-'2. Променливи'!H90))/('2. Променливи'!H88+'2. Променливи'!H90)</f>
        <v>0.86857570905831682</v>
      </c>
      <c r="I29" s="1928">
        <f>('2. Променливи'!I88-('2. Променливи'!I89-'2. Променливи'!I90))/('2. Променливи'!I88+'2. Променливи'!I90)</f>
        <v>0.86867457697742056</v>
      </c>
      <c r="J29" s="1928">
        <f>('2. Променливи'!J88-('2. Променливи'!J89-'2. Променливи'!J90))/('2. Променливи'!J88+'2. Променливи'!J90)</f>
        <v>0.86876968996396964</v>
      </c>
      <c r="K29" s="1929">
        <f>('2. Променливи'!K88-('2. Променливи'!K89-'2. Променливи'!K90))/('2. Променливи'!K88+'2. Променливи'!K90)</f>
        <v>0.86888736616818507</v>
      </c>
      <c r="L29" s="734">
        <v>1</v>
      </c>
      <c r="M29" s="734">
        <v>1</v>
      </c>
      <c r="N29" s="734">
        <v>1</v>
      </c>
      <c r="O29" s="2021">
        <v>0.95</v>
      </c>
    </row>
    <row r="30" spans="1:15" ht="15" thickBot="1">
      <c r="A30" s="672">
        <v>24</v>
      </c>
      <c r="B30" s="670" t="s">
        <v>1046</v>
      </c>
      <c r="C30" s="48" t="s">
        <v>1048</v>
      </c>
      <c r="D30" s="668" t="s">
        <v>226</v>
      </c>
      <c r="E30" s="401">
        <f>'2. Променливи'!E72/'2. Променливи'!E27</f>
        <v>8.1895873748230485E-2</v>
      </c>
      <c r="F30" s="401">
        <f>'2. Променливи'!F72/'2. Променливи'!F27</f>
        <v>8.3789870633216357E-2</v>
      </c>
      <c r="G30" s="401">
        <f>'2. Променливи'!G72/'2. Променливи'!G27</f>
        <v>8.6276356406634225E-2</v>
      </c>
      <c r="H30" s="1934">
        <f>'2. Променливи'!H72/'2. Променливи'!H27</f>
        <v>8.8864491844416568E-2</v>
      </c>
      <c r="I30" s="1934">
        <f>'2. Променливи'!I72/'2. Променливи'!I27</f>
        <v>9.0966122961104137E-2</v>
      </c>
      <c r="J30" s="1934">
        <f>'2. Променливи'!J72/'2. Променливи'!J27</f>
        <v>9.2283563362609788E-2</v>
      </c>
      <c r="K30" s="1935">
        <f>'2. Променливи'!K72/'2. Променливи'!K27</f>
        <v>9.4102885821831864E-2</v>
      </c>
      <c r="L30" s="734">
        <v>1</v>
      </c>
      <c r="M30" s="734">
        <v>1</v>
      </c>
      <c r="N30" s="734">
        <v>1</v>
      </c>
      <c r="O30" s="2021">
        <v>0.2</v>
      </c>
    </row>
    <row r="31" spans="1:15" ht="15" thickBot="1">
      <c r="A31" s="672">
        <v>25</v>
      </c>
      <c r="B31" s="670" t="s">
        <v>1047</v>
      </c>
      <c r="C31" s="48" t="s">
        <v>1049</v>
      </c>
      <c r="D31" s="668" t="s">
        <v>226</v>
      </c>
      <c r="E31" s="401">
        <f>'2. Променливи'!E73/'2. Променливи'!E27</f>
        <v>0.40350233314108952</v>
      </c>
      <c r="F31" s="401">
        <f>'2. Променливи'!F73/'2. Променливи'!F27</f>
        <v>0.48688000838003459</v>
      </c>
      <c r="G31" s="401">
        <f>'2. Променливи'!G73/'2. Променливи'!G27</f>
        <v>0.57264688955161414</v>
      </c>
      <c r="H31" s="1934">
        <f>'2. Променливи'!H73/'2. Променливи'!H27</f>
        <v>0.66107277289836885</v>
      </c>
      <c r="I31" s="1934">
        <f>'2. Променливи'!I73/'2. Променливи'!I27</f>
        <v>0.66960476787954826</v>
      </c>
      <c r="J31" s="1934">
        <f>'2. Променливи'!J73/'2. Променливи'!J27</f>
        <v>0.67901505646173155</v>
      </c>
      <c r="K31" s="1935">
        <f>'2. Променливи'!K73/'2. Променливи'!K27</f>
        <v>0.68947093266415727</v>
      </c>
      <c r="L31" s="734">
        <v>1</v>
      </c>
      <c r="M31" s="734">
        <v>1</v>
      </c>
      <c r="N31" s="734">
        <v>1</v>
      </c>
      <c r="O31" s="2021">
        <v>0.9</v>
      </c>
    </row>
    <row r="32" spans="1:15" ht="15" thickBot="1">
      <c r="A32" s="672">
        <v>26</v>
      </c>
      <c r="B32" s="670" t="s">
        <v>156</v>
      </c>
      <c r="C32" s="121" t="s">
        <v>1038</v>
      </c>
      <c r="D32" s="668" t="s">
        <v>226</v>
      </c>
      <c r="E32" s="401">
        <f>'2. Променливи'!E91/'2. Променливи'!E95</f>
        <v>1</v>
      </c>
      <c r="F32" s="402">
        <f>'2. Променливи'!F91/'2. Променливи'!F95</f>
        <v>1</v>
      </c>
      <c r="G32" s="402">
        <f>'2. Променливи'!G91/'2. Променливи'!G95</f>
        <v>1</v>
      </c>
      <c r="H32" s="1928">
        <f>'2. Променливи'!H91/'2. Променливи'!H95</f>
        <v>1</v>
      </c>
      <c r="I32" s="1928">
        <f>'2. Променливи'!I91/'2. Променливи'!I95</f>
        <v>1</v>
      </c>
      <c r="J32" s="1928">
        <f>'2. Променливи'!J91/'2. Променливи'!J95</f>
        <v>1</v>
      </c>
      <c r="K32" s="1929">
        <f>'2. Променливи'!K91/'2. Променливи'!K95</f>
        <v>1</v>
      </c>
      <c r="L32" s="734">
        <v>1</v>
      </c>
      <c r="M32" s="734">
        <v>1</v>
      </c>
      <c r="N32" s="734">
        <v>1</v>
      </c>
      <c r="O32" s="2021">
        <v>1</v>
      </c>
    </row>
    <row r="33" spans="1:15" ht="15" thickBot="1">
      <c r="A33" s="672">
        <v>27</v>
      </c>
      <c r="B33" s="670" t="s">
        <v>157</v>
      </c>
      <c r="C33" s="121" t="s">
        <v>1039</v>
      </c>
      <c r="D33" s="668" t="s">
        <v>226</v>
      </c>
      <c r="E33" s="401">
        <f>'2. Променливи'!E107/'2. Променливи'!E108</f>
        <v>0.34513274336283184</v>
      </c>
      <c r="F33" s="402">
        <f>'2. Променливи'!F107/'2. Променливи'!F108</f>
        <v>1</v>
      </c>
      <c r="G33" s="402">
        <f>'2. Променливи'!G107/'2. Променливи'!G108</f>
        <v>0.39130434782608697</v>
      </c>
      <c r="H33" s="1928">
        <f>'2. Променливи'!H107/'2. Променливи'!H108</f>
        <v>0.52380952380952384</v>
      </c>
      <c r="I33" s="1928">
        <f>'2. Променливи'!I107/'2. Променливи'!I108</f>
        <v>0.33035714285714285</v>
      </c>
      <c r="J33" s="1928">
        <f>'2. Променливи'!J107/'2. Променливи'!J108</f>
        <v>0.30188679245283018</v>
      </c>
      <c r="K33" s="1929">
        <f>'2. Променливи'!K107/'2. Променливи'!K108</f>
        <v>0.33333333333333331</v>
      </c>
      <c r="L33" s="734">
        <v>1</v>
      </c>
      <c r="M33" s="734">
        <v>1</v>
      </c>
      <c r="N33" s="734">
        <v>1</v>
      </c>
      <c r="O33" s="2021">
        <v>1</v>
      </c>
    </row>
    <row r="34" spans="1:15" ht="15" thickBot="1">
      <c r="A34" s="672">
        <v>28</v>
      </c>
      <c r="B34" s="670" t="s">
        <v>158</v>
      </c>
      <c r="C34" s="48" t="s">
        <v>1040</v>
      </c>
      <c r="D34" s="668" t="s">
        <v>226</v>
      </c>
      <c r="E34" s="401">
        <f>'2. Променливи'!E109/'2. Променливи'!E110</f>
        <v>0.2857142857142857</v>
      </c>
      <c r="F34" s="402">
        <f>'2. Променливи'!F109/'2. Променливи'!F110</f>
        <v>1</v>
      </c>
      <c r="G34" s="402">
        <f>'2. Променливи'!G109/'2. Променливи'!G110</f>
        <v>0.52941176470588236</v>
      </c>
      <c r="H34" s="1928">
        <f>'2. Променливи'!H109/'2. Променливи'!H110</f>
        <v>0.52500000000000002</v>
      </c>
      <c r="I34" s="1928">
        <f>'2. Променливи'!I109/'2. Променливи'!I110</f>
        <v>0.45238095238095238</v>
      </c>
      <c r="J34" s="1928">
        <f>'2. Променливи'!J109/'2. Променливи'!J110</f>
        <v>0.48888888888888887</v>
      </c>
      <c r="K34" s="1929">
        <f>'2. Променливи'!K109/'2. Променливи'!K110</f>
        <v>0.5</v>
      </c>
      <c r="L34" s="734">
        <v>1</v>
      </c>
      <c r="M34" s="734">
        <v>1</v>
      </c>
      <c r="N34" s="734">
        <v>1</v>
      </c>
      <c r="O34" s="2021">
        <v>1</v>
      </c>
    </row>
    <row r="35" spans="1:15" ht="15" thickBot="1">
      <c r="A35" s="672">
        <v>29</v>
      </c>
      <c r="B35" s="670" t="s">
        <v>159</v>
      </c>
      <c r="C35" s="121" t="s">
        <v>1041</v>
      </c>
      <c r="D35" s="668" t="s">
        <v>1016</v>
      </c>
      <c r="E35" s="403">
        <f>'2. Променливи'!E111/'2. Променливи'!E26*1000</f>
        <v>4.5064826432455041</v>
      </c>
      <c r="F35" s="404">
        <f>'2. Променливи'!F111/'2. Променливи'!F26*1000</f>
        <v>4.5169385194479297</v>
      </c>
      <c r="G35" s="404">
        <f>'2. Променливи'!G111/'2. Променливи'!G26*1000</f>
        <v>4.5901296528649098</v>
      </c>
      <c r="H35" s="1932">
        <f>'2. Променливи'!H111/'2. Променливи'!H26*1000</f>
        <v>4.7469677959012966</v>
      </c>
      <c r="I35" s="1930">
        <f>'2. Променливи'!I111/'2. Променливи'!I26*1000</f>
        <v>4.7469677959012966</v>
      </c>
      <c r="J35" s="1930">
        <f>'2. Променливи'!J111/'2. Променливи'!J26*1000</f>
        <v>4.7469677959012966</v>
      </c>
      <c r="K35" s="1933">
        <f>'2. Променливи'!K111/'2. Променливи'!K26*1000</f>
        <v>4.9038059389376825</v>
      </c>
      <c r="L35" s="734">
        <v>1</v>
      </c>
      <c r="M35" s="734">
        <v>1</v>
      </c>
      <c r="N35" s="734">
        <v>1</v>
      </c>
      <c r="O35" s="2022">
        <v>4</v>
      </c>
    </row>
    <row r="36" spans="1:15" ht="21.75" customHeight="1" thickBot="1">
      <c r="A36" s="673">
        <v>30</v>
      </c>
      <c r="B36" s="671" t="s">
        <v>160</v>
      </c>
      <c r="C36" s="122" t="s">
        <v>1042</v>
      </c>
      <c r="D36" s="674" t="s">
        <v>1017</v>
      </c>
      <c r="E36" s="409">
        <f>'2. Променливи'!E112/'2. Променливи'!E28*1000</f>
        <v>6.8427370948379354</v>
      </c>
      <c r="F36" s="409">
        <f>'2. Променливи'!F112/'2. Променливи'!F28*1000</f>
        <v>6.9343065693430663</v>
      </c>
      <c r="G36" s="409">
        <f>'2. Променливи'!G112/'2. Променливи'!G28*1000</f>
        <v>6.488240064882401</v>
      </c>
      <c r="H36" s="1942">
        <f>'2. Променливи'!H112/'2. Променливи'!H28*1000</f>
        <v>4.3596730245231612</v>
      </c>
      <c r="I36" s="1942">
        <f>'2. Променливи'!I112/'2. Променливи'!I28*1000</f>
        <v>3.9277652370203162</v>
      </c>
      <c r="J36" s="1942">
        <f>'2. Променливи'!J112/'2. Променливи'!J28*1000</f>
        <v>3.5756385068762278</v>
      </c>
      <c r="K36" s="1943">
        <f>'2. Променливи'!K112/'2. Променливи'!K28*1000</f>
        <v>3.1</v>
      </c>
      <c r="L36" s="734">
        <v>1</v>
      </c>
      <c r="M36" s="734">
        <v>1</v>
      </c>
      <c r="N36" s="734">
        <v>1</v>
      </c>
      <c r="O36" s="2024">
        <v>3</v>
      </c>
    </row>
    <row r="37" spans="1:15">
      <c r="F37" s="1191"/>
      <c r="G37" s="1191"/>
      <c r="H37" s="1191"/>
    </row>
    <row r="38" spans="1:15">
      <c r="E38" s="1191"/>
    </row>
    <row r="39" spans="1:15">
      <c r="E39" s="1191"/>
      <c r="F39" s="1191"/>
      <c r="G39" s="1191"/>
      <c r="H39" s="1191"/>
    </row>
    <row r="40" spans="1:15">
      <c r="E40" s="1191"/>
      <c r="F40" s="1191"/>
      <c r="G40" s="1191"/>
      <c r="H40" s="1191"/>
    </row>
    <row r="41" spans="1:15">
      <c r="C41" s="234" t="str">
        <f>'2. Променливи'!C117</f>
        <v>Дата: 27.06.2016г.</v>
      </c>
    </row>
    <row r="42" spans="1:15">
      <c r="E42" s="233" t="str">
        <f>'2. Променливи'!E115</f>
        <v>Главен счетоводител:</v>
      </c>
      <c r="G42" s="2" t="s">
        <v>4</v>
      </c>
    </row>
    <row r="43" spans="1:15">
      <c r="H43" s="2" t="s">
        <v>246</v>
      </c>
    </row>
    <row r="46" spans="1:15">
      <c r="F46" s="233" t="str">
        <f>'2. Променливи'!F118</f>
        <v>Управител:</v>
      </c>
      <c r="G46" s="2" t="s">
        <v>4</v>
      </c>
    </row>
    <row r="47" spans="1:15">
      <c r="A47" s="679" t="s">
        <v>757</v>
      </c>
      <c r="H47" s="2" t="s">
        <v>6</v>
      </c>
    </row>
    <row r="48" spans="1:15">
      <c r="A48" s="681" t="s">
        <v>248</v>
      </c>
    </row>
    <row r="49" spans="1:1">
      <c r="A49" s="681" t="s">
        <v>1533</v>
      </c>
    </row>
    <row r="50" spans="1:1">
      <c r="A50" s="3071" t="s">
        <v>1534</v>
      </c>
    </row>
  </sheetData>
  <sheetProtection password="C6DB" sheet="1" objects="1" scenarios="1" formatCells="0" formatColumns="0" formatRows="0"/>
  <mergeCells count="3">
    <mergeCell ref="A2:L2"/>
    <mergeCell ref="A3:L3"/>
    <mergeCell ref="A4:L4"/>
  </mergeCells>
  <printOptions horizontalCentered="1"/>
  <pageMargins left="0.23622047244094491" right="0.23622047244094491" top="0.82677165354330717" bottom="0.51181102362204722" header="0.31496062992125984" footer="0.31496062992125984"/>
  <pageSetup paperSize="9" scale="58" fitToHeight="4" orientation="landscape" r:id="rId1"/>
  <headerFooter alignWithMargins="0">
    <oddFooter>&amp;R&amp;P</oddFooter>
  </headerFooter>
  <ignoredErrors>
    <ignoredError sqref="E7:K11 E16:K18 E32:K34 E20:K24 E26:K29 E36:K36 E35:G35" evalErro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Q84"/>
  <sheetViews>
    <sheetView view="pageBreakPreview" zoomScale="85" zoomScaleNormal="85" zoomScaleSheetLayoutView="85" workbookViewId="0">
      <pane xSplit="10" ySplit="8" topLeftCell="K33" activePane="bottomRight" state="frozen"/>
      <selection pane="topRight" activeCell="K1" sqref="K1"/>
      <selection pane="bottomLeft" activeCell="A9" sqref="A9"/>
      <selection pane="bottomRight" activeCell="E63" sqref="E63"/>
    </sheetView>
  </sheetViews>
  <sheetFormatPr defaultRowHeight="12.75"/>
  <cols>
    <col min="1" max="1" width="7" style="412" customWidth="1"/>
    <col min="2" max="2" width="56.42578125" style="414" customWidth="1"/>
    <col min="3" max="3" width="10.28515625" style="414" customWidth="1"/>
    <col min="4" max="10" width="10.7109375" style="414" customWidth="1"/>
    <col min="11" max="11" width="5.28515625" style="414" customWidth="1"/>
    <col min="12" max="12" width="9.7109375" style="414" bestFit="1" customWidth="1"/>
    <col min="13" max="255" width="9.140625" style="414"/>
    <col min="256" max="256" width="5.28515625" style="414" customWidth="1"/>
    <col min="257" max="257" width="56.42578125" style="414" customWidth="1"/>
    <col min="258" max="258" width="10.28515625" style="414" customWidth="1"/>
    <col min="259" max="265" width="10.7109375" style="414" customWidth="1"/>
    <col min="266" max="266" width="9.140625" style="414"/>
    <col min="267" max="267" width="11.28515625" style="414" bestFit="1" customWidth="1"/>
    <col min="268" max="268" width="9.7109375" style="414" bestFit="1" customWidth="1"/>
    <col min="269" max="511" width="9.140625" style="414"/>
    <col min="512" max="512" width="5.28515625" style="414" customWidth="1"/>
    <col min="513" max="513" width="56.42578125" style="414" customWidth="1"/>
    <col min="514" max="514" width="10.28515625" style="414" customWidth="1"/>
    <col min="515" max="521" width="10.7109375" style="414" customWidth="1"/>
    <col min="522" max="522" width="9.140625" style="414"/>
    <col min="523" max="523" width="11.28515625" style="414" bestFit="1" customWidth="1"/>
    <col min="524" max="524" width="9.7109375" style="414" bestFit="1" customWidth="1"/>
    <col min="525" max="767" width="9.140625" style="414"/>
    <col min="768" max="768" width="5.28515625" style="414" customWidth="1"/>
    <col min="769" max="769" width="56.42578125" style="414" customWidth="1"/>
    <col min="770" max="770" width="10.28515625" style="414" customWidth="1"/>
    <col min="771" max="777" width="10.7109375" style="414" customWidth="1"/>
    <col min="778" max="778" width="9.140625" style="414"/>
    <col min="779" max="779" width="11.28515625" style="414" bestFit="1" customWidth="1"/>
    <col min="780" max="780" width="9.7109375" style="414" bestFit="1" customWidth="1"/>
    <col min="781" max="1023" width="9.140625" style="414"/>
    <col min="1024" max="1024" width="5.28515625" style="414" customWidth="1"/>
    <col min="1025" max="1025" width="56.42578125" style="414" customWidth="1"/>
    <col min="1026" max="1026" width="10.28515625" style="414" customWidth="1"/>
    <col min="1027" max="1033" width="10.7109375" style="414" customWidth="1"/>
    <col min="1034" max="1034" width="9.140625" style="414"/>
    <col min="1035" max="1035" width="11.28515625" style="414" bestFit="1" customWidth="1"/>
    <col min="1036" max="1036" width="9.7109375" style="414" bestFit="1" customWidth="1"/>
    <col min="1037" max="1279" width="9.140625" style="414"/>
    <col min="1280" max="1280" width="5.28515625" style="414" customWidth="1"/>
    <col min="1281" max="1281" width="56.42578125" style="414" customWidth="1"/>
    <col min="1282" max="1282" width="10.28515625" style="414" customWidth="1"/>
    <col min="1283" max="1289" width="10.7109375" style="414" customWidth="1"/>
    <col min="1290" max="1290" width="9.140625" style="414"/>
    <col min="1291" max="1291" width="11.28515625" style="414" bestFit="1" customWidth="1"/>
    <col min="1292" max="1292" width="9.7109375" style="414" bestFit="1" customWidth="1"/>
    <col min="1293" max="1535" width="9.140625" style="414"/>
    <col min="1536" max="1536" width="5.28515625" style="414" customWidth="1"/>
    <col min="1537" max="1537" width="56.42578125" style="414" customWidth="1"/>
    <col min="1538" max="1538" width="10.28515625" style="414" customWidth="1"/>
    <col min="1539" max="1545" width="10.7109375" style="414" customWidth="1"/>
    <col min="1546" max="1546" width="9.140625" style="414"/>
    <col min="1547" max="1547" width="11.28515625" style="414" bestFit="1" customWidth="1"/>
    <col min="1548" max="1548" width="9.7109375" style="414" bestFit="1" customWidth="1"/>
    <col min="1549" max="1791" width="9.140625" style="414"/>
    <col min="1792" max="1792" width="5.28515625" style="414" customWidth="1"/>
    <col min="1793" max="1793" width="56.42578125" style="414" customWidth="1"/>
    <col min="1794" max="1794" width="10.28515625" style="414" customWidth="1"/>
    <col min="1795" max="1801" width="10.7109375" style="414" customWidth="1"/>
    <col min="1802" max="1802" width="9.140625" style="414"/>
    <col min="1803" max="1803" width="11.28515625" style="414" bestFit="1" customWidth="1"/>
    <col min="1804" max="1804" width="9.7109375" style="414" bestFit="1" customWidth="1"/>
    <col min="1805" max="2047" width="9.140625" style="414"/>
    <col min="2048" max="2048" width="5.28515625" style="414" customWidth="1"/>
    <col min="2049" max="2049" width="56.42578125" style="414" customWidth="1"/>
    <col min="2050" max="2050" width="10.28515625" style="414" customWidth="1"/>
    <col min="2051" max="2057" width="10.7109375" style="414" customWidth="1"/>
    <col min="2058" max="2058" width="9.140625" style="414"/>
    <col min="2059" max="2059" width="11.28515625" style="414" bestFit="1" customWidth="1"/>
    <col min="2060" max="2060" width="9.7109375" style="414" bestFit="1" customWidth="1"/>
    <col min="2061" max="2303" width="9.140625" style="414"/>
    <col min="2304" max="2304" width="5.28515625" style="414" customWidth="1"/>
    <col min="2305" max="2305" width="56.42578125" style="414" customWidth="1"/>
    <col min="2306" max="2306" width="10.28515625" style="414" customWidth="1"/>
    <col min="2307" max="2313" width="10.7109375" style="414" customWidth="1"/>
    <col min="2314" max="2314" width="9.140625" style="414"/>
    <col min="2315" max="2315" width="11.28515625" style="414" bestFit="1" customWidth="1"/>
    <col min="2316" max="2316" width="9.7109375" style="414" bestFit="1" customWidth="1"/>
    <col min="2317" max="2559" width="9.140625" style="414"/>
    <col min="2560" max="2560" width="5.28515625" style="414" customWidth="1"/>
    <col min="2561" max="2561" width="56.42578125" style="414" customWidth="1"/>
    <col min="2562" max="2562" width="10.28515625" style="414" customWidth="1"/>
    <col min="2563" max="2569" width="10.7109375" style="414" customWidth="1"/>
    <col min="2570" max="2570" width="9.140625" style="414"/>
    <col min="2571" max="2571" width="11.28515625" style="414" bestFit="1" customWidth="1"/>
    <col min="2572" max="2572" width="9.7109375" style="414" bestFit="1" customWidth="1"/>
    <col min="2573" max="2815" width="9.140625" style="414"/>
    <col min="2816" max="2816" width="5.28515625" style="414" customWidth="1"/>
    <col min="2817" max="2817" width="56.42578125" style="414" customWidth="1"/>
    <col min="2818" max="2818" width="10.28515625" style="414" customWidth="1"/>
    <col min="2819" max="2825" width="10.7109375" style="414" customWidth="1"/>
    <col min="2826" max="2826" width="9.140625" style="414"/>
    <col min="2827" max="2827" width="11.28515625" style="414" bestFit="1" customWidth="1"/>
    <col min="2828" max="2828" width="9.7109375" style="414" bestFit="1" customWidth="1"/>
    <col min="2829" max="3071" width="9.140625" style="414"/>
    <col min="3072" max="3072" width="5.28515625" style="414" customWidth="1"/>
    <col min="3073" max="3073" width="56.42578125" style="414" customWidth="1"/>
    <col min="3074" max="3074" width="10.28515625" style="414" customWidth="1"/>
    <col min="3075" max="3081" width="10.7109375" style="414" customWidth="1"/>
    <col min="3082" max="3082" width="9.140625" style="414"/>
    <col min="3083" max="3083" width="11.28515625" style="414" bestFit="1" customWidth="1"/>
    <col min="3084" max="3084" width="9.7109375" style="414" bestFit="1" customWidth="1"/>
    <col min="3085" max="3327" width="9.140625" style="414"/>
    <col min="3328" max="3328" width="5.28515625" style="414" customWidth="1"/>
    <col min="3329" max="3329" width="56.42578125" style="414" customWidth="1"/>
    <col min="3330" max="3330" width="10.28515625" style="414" customWidth="1"/>
    <col min="3331" max="3337" width="10.7109375" style="414" customWidth="1"/>
    <col min="3338" max="3338" width="9.140625" style="414"/>
    <col min="3339" max="3339" width="11.28515625" style="414" bestFit="1" customWidth="1"/>
    <col min="3340" max="3340" width="9.7109375" style="414" bestFit="1" customWidth="1"/>
    <col min="3341" max="3583" width="9.140625" style="414"/>
    <col min="3584" max="3584" width="5.28515625" style="414" customWidth="1"/>
    <col min="3585" max="3585" width="56.42578125" style="414" customWidth="1"/>
    <col min="3586" max="3586" width="10.28515625" style="414" customWidth="1"/>
    <col min="3587" max="3593" width="10.7109375" style="414" customWidth="1"/>
    <col min="3594" max="3594" width="9.140625" style="414"/>
    <col min="3595" max="3595" width="11.28515625" style="414" bestFit="1" customWidth="1"/>
    <col min="3596" max="3596" width="9.7109375" style="414" bestFit="1" customWidth="1"/>
    <col min="3597" max="3839" width="9.140625" style="414"/>
    <col min="3840" max="3840" width="5.28515625" style="414" customWidth="1"/>
    <col min="3841" max="3841" width="56.42578125" style="414" customWidth="1"/>
    <col min="3842" max="3842" width="10.28515625" style="414" customWidth="1"/>
    <col min="3843" max="3849" width="10.7109375" style="414" customWidth="1"/>
    <col min="3850" max="3850" width="9.140625" style="414"/>
    <col min="3851" max="3851" width="11.28515625" style="414" bestFit="1" customWidth="1"/>
    <col min="3852" max="3852" width="9.7109375" style="414" bestFit="1" customWidth="1"/>
    <col min="3853" max="4095" width="9.140625" style="414"/>
    <col min="4096" max="4096" width="5.28515625" style="414" customWidth="1"/>
    <col min="4097" max="4097" width="56.42578125" style="414" customWidth="1"/>
    <col min="4098" max="4098" width="10.28515625" style="414" customWidth="1"/>
    <col min="4099" max="4105" width="10.7109375" style="414" customWidth="1"/>
    <col min="4106" max="4106" width="9.140625" style="414"/>
    <col min="4107" max="4107" width="11.28515625" style="414" bestFit="1" customWidth="1"/>
    <col min="4108" max="4108" width="9.7109375" style="414" bestFit="1" customWidth="1"/>
    <col min="4109" max="4351" width="9.140625" style="414"/>
    <col min="4352" max="4352" width="5.28515625" style="414" customWidth="1"/>
    <col min="4353" max="4353" width="56.42578125" style="414" customWidth="1"/>
    <col min="4354" max="4354" width="10.28515625" style="414" customWidth="1"/>
    <col min="4355" max="4361" width="10.7109375" style="414" customWidth="1"/>
    <col min="4362" max="4362" width="9.140625" style="414"/>
    <col min="4363" max="4363" width="11.28515625" style="414" bestFit="1" customWidth="1"/>
    <col min="4364" max="4364" width="9.7109375" style="414" bestFit="1" customWidth="1"/>
    <col min="4365" max="4607" width="9.140625" style="414"/>
    <col min="4608" max="4608" width="5.28515625" style="414" customWidth="1"/>
    <col min="4609" max="4609" width="56.42578125" style="414" customWidth="1"/>
    <col min="4610" max="4610" width="10.28515625" style="414" customWidth="1"/>
    <col min="4611" max="4617" width="10.7109375" style="414" customWidth="1"/>
    <col min="4618" max="4618" width="9.140625" style="414"/>
    <col min="4619" max="4619" width="11.28515625" style="414" bestFit="1" customWidth="1"/>
    <col min="4620" max="4620" width="9.7109375" style="414" bestFit="1" customWidth="1"/>
    <col min="4621" max="4863" width="9.140625" style="414"/>
    <col min="4864" max="4864" width="5.28515625" style="414" customWidth="1"/>
    <col min="4865" max="4865" width="56.42578125" style="414" customWidth="1"/>
    <col min="4866" max="4866" width="10.28515625" style="414" customWidth="1"/>
    <col min="4867" max="4873" width="10.7109375" style="414" customWidth="1"/>
    <col min="4874" max="4874" width="9.140625" style="414"/>
    <col min="4875" max="4875" width="11.28515625" style="414" bestFit="1" customWidth="1"/>
    <col min="4876" max="4876" width="9.7109375" style="414" bestFit="1" customWidth="1"/>
    <col min="4877" max="5119" width="9.140625" style="414"/>
    <col min="5120" max="5120" width="5.28515625" style="414" customWidth="1"/>
    <col min="5121" max="5121" width="56.42578125" style="414" customWidth="1"/>
    <col min="5122" max="5122" width="10.28515625" style="414" customWidth="1"/>
    <col min="5123" max="5129" width="10.7109375" style="414" customWidth="1"/>
    <col min="5130" max="5130" width="9.140625" style="414"/>
    <col min="5131" max="5131" width="11.28515625" style="414" bestFit="1" customWidth="1"/>
    <col min="5132" max="5132" width="9.7109375" style="414" bestFit="1" customWidth="1"/>
    <col min="5133" max="5375" width="9.140625" style="414"/>
    <col min="5376" max="5376" width="5.28515625" style="414" customWidth="1"/>
    <col min="5377" max="5377" width="56.42578125" style="414" customWidth="1"/>
    <col min="5378" max="5378" width="10.28515625" style="414" customWidth="1"/>
    <col min="5379" max="5385" width="10.7109375" style="414" customWidth="1"/>
    <col min="5386" max="5386" width="9.140625" style="414"/>
    <col min="5387" max="5387" width="11.28515625" style="414" bestFit="1" customWidth="1"/>
    <col min="5388" max="5388" width="9.7109375" style="414" bestFit="1" customWidth="1"/>
    <col min="5389" max="5631" width="9.140625" style="414"/>
    <col min="5632" max="5632" width="5.28515625" style="414" customWidth="1"/>
    <col min="5633" max="5633" width="56.42578125" style="414" customWidth="1"/>
    <col min="5634" max="5634" width="10.28515625" style="414" customWidth="1"/>
    <col min="5635" max="5641" width="10.7109375" style="414" customWidth="1"/>
    <col min="5642" max="5642" width="9.140625" style="414"/>
    <col min="5643" max="5643" width="11.28515625" style="414" bestFit="1" customWidth="1"/>
    <col min="5644" max="5644" width="9.7109375" style="414" bestFit="1" customWidth="1"/>
    <col min="5645" max="5887" width="9.140625" style="414"/>
    <col min="5888" max="5888" width="5.28515625" style="414" customWidth="1"/>
    <col min="5889" max="5889" width="56.42578125" style="414" customWidth="1"/>
    <col min="5890" max="5890" width="10.28515625" style="414" customWidth="1"/>
    <col min="5891" max="5897" width="10.7109375" style="414" customWidth="1"/>
    <col min="5898" max="5898" width="9.140625" style="414"/>
    <col min="5899" max="5899" width="11.28515625" style="414" bestFit="1" customWidth="1"/>
    <col min="5900" max="5900" width="9.7109375" style="414" bestFit="1" customWidth="1"/>
    <col min="5901" max="6143" width="9.140625" style="414"/>
    <col min="6144" max="6144" width="5.28515625" style="414" customWidth="1"/>
    <col min="6145" max="6145" width="56.42578125" style="414" customWidth="1"/>
    <col min="6146" max="6146" width="10.28515625" style="414" customWidth="1"/>
    <col min="6147" max="6153" width="10.7109375" style="414" customWidth="1"/>
    <col min="6154" max="6154" width="9.140625" style="414"/>
    <col min="6155" max="6155" width="11.28515625" style="414" bestFit="1" customWidth="1"/>
    <col min="6156" max="6156" width="9.7109375" style="414" bestFit="1" customWidth="1"/>
    <col min="6157" max="6399" width="9.140625" style="414"/>
    <col min="6400" max="6400" width="5.28515625" style="414" customWidth="1"/>
    <col min="6401" max="6401" width="56.42578125" style="414" customWidth="1"/>
    <col min="6402" max="6402" width="10.28515625" style="414" customWidth="1"/>
    <col min="6403" max="6409" width="10.7109375" style="414" customWidth="1"/>
    <col min="6410" max="6410" width="9.140625" style="414"/>
    <col min="6411" max="6411" width="11.28515625" style="414" bestFit="1" customWidth="1"/>
    <col min="6412" max="6412" width="9.7109375" style="414" bestFit="1" customWidth="1"/>
    <col min="6413" max="6655" width="9.140625" style="414"/>
    <col min="6656" max="6656" width="5.28515625" style="414" customWidth="1"/>
    <col min="6657" max="6657" width="56.42578125" style="414" customWidth="1"/>
    <col min="6658" max="6658" width="10.28515625" style="414" customWidth="1"/>
    <col min="6659" max="6665" width="10.7109375" style="414" customWidth="1"/>
    <col min="6666" max="6666" width="9.140625" style="414"/>
    <col min="6667" max="6667" width="11.28515625" style="414" bestFit="1" customWidth="1"/>
    <col min="6668" max="6668" width="9.7109375" style="414" bestFit="1" customWidth="1"/>
    <col min="6669" max="6911" width="9.140625" style="414"/>
    <col min="6912" max="6912" width="5.28515625" style="414" customWidth="1"/>
    <col min="6913" max="6913" width="56.42578125" style="414" customWidth="1"/>
    <col min="6914" max="6914" width="10.28515625" style="414" customWidth="1"/>
    <col min="6915" max="6921" width="10.7109375" style="414" customWidth="1"/>
    <col min="6922" max="6922" width="9.140625" style="414"/>
    <col min="6923" max="6923" width="11.28515625" style="414" bestFit="1" customWidth="1"/>
    <col min="6924" max="6924" width="9.7109375" style="414" bestFit="1" customWidth="1"/>
    <col min="6925" max="7167" width="9.140625" style="414"/>
    <col min="7168" max="7168" width="5.28515625" style="414" customWidth="1"/>
    <col min="7169" max="7169" width="56.42578125" style="414" customWidth="1"/>
    <col min="7170" max="7170" width="10.28515625" style="414" customWidth="1"/>
    <col min="7171" max="7177" width="10.7109375" style="414" customWidth="1"/>
    <col min="7178" max="7178" width="9.140625" style="414"/>
    <col min="7179" max="7179" width="11.28515625" style="414" bestFit="1" customWidth="1"/>
    <col min="7180" max="7180" width="9.7109375" style="414" bestFit="1" customWidth="1"/>
    <col min="7181" max="7423" width="9.140625" style="414"/>
    <col min="7424" max="7424" width="5.28515625" style="414" customWidth="1"/>
    <col min="7425" max="7425" width="56.42578125" style="414" customWidth="1"/>
    <col min="7426" max="7426" width="10.28515625" style="414" customWidth="1"/>
    <col min="7427" max="7433" width="10.7109375" style="414" customWidth="1"/>
    <col min="7434" max="7434" width="9.140625" style="414"/>
    <col min="7435" max="7435" width="11.28515625" style="414" bestFit="1" customWidth="1"/>
    <col min="7436" max="7436" width="9.7109375" style="414" bestFit="1" customWidth="1"/>
    <col min="7437" max="7679" width="9.140625" style="414"/>
    <col min="7680" max="7680" width="5.28515625" style="414" customWidth="1"/>
    <col min="7681" max="7681" width="56.42578125" style="414" customWidth="1"/>
    <col min="7682" max="7682" width="10.28515625" style="414" customWidth="1"/>
    <col min="7683" max="7689" width="10.7109375" style="414" customWidth="1"/>
    <col min="7690" max="7690" width="9.140625" style="414"/>
    <col min="7691" max="7691" width="11.28515625" style="414" bestFit="1" customWidth="1"/>
    <col min="7692" max="7692" width="9.7109375" style="414" bestFit="1" customWidth="1"/>
    <col min="7693" max="7935" width="9.140625" style="414"/>
    <col min="7936" max="7936" width="5.28515625" style="414" customWidth="1"/>
    <col min="7937" max="7937" width="56.42578125" style="414" customWidth="1"/>
    <col min="7938" max="7938" width="10.28515625" style="414" customWidth="1"/>
    <col min="7939" max="7945" width="10.7109375" style="414" customWidth="1"/>
    <col min="7946" max="7946" width="9.140625" style="414"/>
    <col min="7947" max="7947" width="11.28515625" style="414" bestFit="1" customWidth="1"/>
    <col min="7948" max="7948" width="9.7109375" style="414" bestFit="1" customWidth="1"/>
    <col min="7949" max="8191" width="9.140625" style="414"/>
    <col min="8192" max="8192" width="5.28515625" style="414" customWidth="1"/>
    <col min="8193" max="8193" width="56.42578125" style="414" customWidth="1"/>
    <col min="8194" max="8194" width="10.28515625" style="414" customWidth="1"/>
    <col min="8195" max="8201" width="10.7109375" style="414" customWidth="1"/>
    <col min="8202" max="8202" width="9.140625" style="414"/>
    <col min="8203" max="8203" width="11.28515625" style="414" bestFit="1" customWidth="1"/>
    <col min="8204" max="8204" width="9.7109375" style="414" bestFit="1" customWidth="1"/>
    <col min="8205" max="8447" width="9.140625" style="414"/>
    <col min="8448" max="8448" width="5.28515625" style="414" customWidth="1"/>
    <col min="8449" max="8449" width="56.42578125" style="414" customWidth="1"/>
    <col min="8450" max="8450" width="10.28515625" style="414" customWidth="1"/>
    <col min="8451" max="8457" width="10.7109375" style="414" customWidth="1"/>
    <col min="8458" max="8458" width="9.140625" style="414"/>
    <col min="8459" max="8459" width="11.28515625" style="414" bestFit="1" customWidth="1"/>
    <col min="8460" max="8460" width="9.7109375" style="414" bestFit="1" customWidth="1"/>
    <col min="8461" max="8703" width="9.140625" style="414"/>
    <col min="8704" max="8704" width="5.28515625" style="414" customWidth="1"/>
    <col min="8705" max="8705" width="56.42578125" style="414" customWidth="1"/>
    <col min="8706" max="8706" width="10.28515625" style="414" customWidth="1"/>
    <col min="8707" max="8713" width="10.7109375" style="414" customWidth="1"/>
    <col min="8714" max="8714" width="9.140625" style="414"/>
    <col min="8715" max="8715" width="11.28515625" style="414" bestFit="1" customWidth="1"/>
    <col min="8716" max="8716" width="9.7109375" style="414" bestFit="1" customWidth="1"/>
    <col min="8717" max="8959" width="9.140625" style="414"/>
    <col min="8960" max="8960" width="5.28515625" style="414" customWidth="1"/>
    <col min="8961" max="8961" width="56.42578125" style="414" customWidth="1"/>
    <col min="8962" max="8962" width="10.28515625" style="414" customWidth="1"/>
    <col min="8963" max="8969" width="10.7109375" style="414" customWidth="1"/>
    <col min="8970" max="8970" width="9.140625" style="414"/>
    <col min="8971" max="8971" width="11.28515625" style="414" bestFit="1" customWidth="1"/>
    <col min="8972" max="8972" width="9.7109375" style="414" bestFit="1" customWidth="1"/>
    <col min="8973" max="9215" width="9.140625" style="414"/>
    <col min="9216" max="9216" width="5.28515625" style="414" customWidth="1"/>
    <col min="9217" max="9217" width="56.42578125" style="414" customWidth="1"/>
    <col min="9218" max="9218" width="10.28515625" style="414" customWidth="1"/>
    <col min="9219" max="9225" width="10.7109375" style="414" customWidth="1"/>
    <col min="9226" max="9226" width="9.140625" style="414"/>
    <col min="9227" max="9227" width="11.28515625" style="414" bestFit="1" customWidth="1"/>
    <col min="9228" max="9228" width="9.7109375" style="414" bestFit="1" customWidth="1"/>
    <col min="9229" max="9471" width="9.140625" style="414"/>
    <col min="9472" max="9472" width="5.28515625" style="414" customWidth="1"/>
    <col min="9473" max="9473" width="56.42578125" style="414" customWidth="1"/>
    <col min="9474" max="9474" width="10.28515625" style="414" customWidth="1"/>
    <col min="9475" max="9481" width="10.7109375" style="414" customWidth="1"/>
    <col min="9482" max="9482" width="9.140625" style="414"/>
    <col min="9483" max="9483" width="11.28515625" style="414" bestFit="1" customWidth="1"/>
    <col min="9484" max="9484" width="9.7109375" style="414" bestFit="1" customWidth="1"/>
    <col min="9485" max="9727" width="9.140625" style="414"/>
    <col min="9728" max="9728" width="5.28515625" style="414" customWidth="1"/>
    <col min="9729" max="9729" width="56.42578125" style="414" customWidth="1"/>
    <col min="9730" max="9730" width="10.28515625" style="414" customWidth="1"/>
    <col min="9731" max="9737" width="10.7109375" style="414" customWidth="1"/>
    <col min="9738" max="9738" width="9.140625" style="414"/>
    <col min="9739" max="9739" width="11.28515625" style="414" bestFit="1" customWidth="1"/>
    <col min="9740" max="9740" width="9.7109375" style="414" bestFit="1" customWidth="1"/>
    <col min="9741" max="9983" width="9.140625" style="414"/>
    <col min="9984" max="9984" width="5.28515625" style="414" customWidth="1"/>
    <col min="9985" max="9985" width="56.42578125" style="414" customWidth="1"/>
    <col min="9986" max="9986" width="10.28515625" style="414" customWidth="1"/>
    <col min="9987" max="9993" width="10.7109375" style="414" customWidth="1"/>
    <col min="9994" max="9994" width="9.140625" style="414"/>
    <col min="9995" max="9995" width="11.28515625" style="414" bestFit="1" customWidth="1"/>
    <col min="9996" max="9996" width="9.7109375" style="414" bestFit="1" customWidth="1"/>
    <col min="9997" max="10239" width="9.140625" style="414"/>
    <col min="10240" max="10240" width="5.28515625" style="414" customWidth="1"/>
    <col min="10241" max="10241" width="56.42578125" style="414" customWidth="1"/>
    <col min="10242" max="10242" width="10.28515625" style="414" customWidth="1"/>
    <col min="10243" max="10249" width="10.7109375" style="414" customWidth="1"/>
    <col min="10250" max="10250" width="9.140625" style="414"/>
    <col min="10251" max="10251" width="11.28515625" style="414" bestFit="1" customWidth="1"/>
    <col min="10252" max="10252" width="9.7109375" style="414" bestFit="1" customWidth="1"/>
    <col min="10253" max="10495" width="9.140625" style="414"/>
    <col min="10496" max="10496" width="5.28515625" style="414" customWidth="1"/>
    <col min="10497" max="10497" width="56.42578125" style="414" customWidth="1"/>
    <col min="10498" max="10498" width="10.28515625" style="414" customWidth="1"/>
    <col min="10499" max="10505" width="10.7109375" style="414" customWidth="1"/>
    <col min="10506" max="10506" width="9.140625" style="414"/>
    <col min="10507" max="10507" width="11.28515625" style="414" bestFit="1" customWidth="1"/>
    <col min="10508" max="10508" width="9.7109375" style="414" bestFit="1" customWidth="1"/>
    <col min="10509" max="10751" width="9.140625" style="414"/>
    <col min="10752" max="10752" width="5.28515625" style="414" customWidth="1"/>
    <col min="10753" max="10753" width="56.42578125" style="414" customWidth="1"/>
    <col min="10754" max="10754" width="10.28515625" style="414" customWidth="1"/>
    <col min="10755" max="10761" width="10.7109375" style="414" customWidth="1"/>
    <col min="10762" max="10762" width="9.140625" style="414"/>
    <col min="10763" max="10763" width="11.28515625" style="414" bestFit="1" customWidth="1"/>
    <col min="10764" max="10764" width="9.7109375" style="414" bestFit="1" customWidth="1"/>
    <col min="10765" max="11007" width="9.140625" style="414"/>
    <col min="11008" max="11008" width="5.28515625" style="414" customWidth="1"/>
    <col min="11009" max="11009" width="56.42578125" style="414" customWidth="1"/>
    <col min="11010" max="11010" width="10.28515625" style="414" customWidth="1"/>
    <col min="11011" max="11017" width="10.7109375" style="414" customWidth="1"/>
    <col min="11018" max="11018" width="9.140625" style="414"/>
    <col min="11019" max="11019" width="11.28515625" style="414" bestFit="1" customWidth="1"/>
    <col min="11020" max="11020" width="9.7109375" style="414" bestFit="1" customWidth="1"/>
    <col min="11021" max="11263" width="9.140625" style="414"/>
    <col min="11264" max="11264" width="5.28515625" style="414" customWidth="1"/>
    <col min="11265" max="11265" width="56.42578125" style="414" customWidth="1"/>
    <col min="11266" max="11266" width="10.28515625" style="414" customWidth="1"/>
    <col min="11267" max="11273" width="10.7109375" style="414" customWidth="1"/>
    <col min="11274" max="11274" width="9.140625" style="414"/>
    <col min="11275" max="11275" width="11.28515625" style="414" bestFit="1" customWidth="1"/>
    <col min="11276" max="11276" width="9.7109375" style="414" bestFit="1" customWidth="1"/>
    <col min="11277" max="11519" width="9.140625" style="414"/>
    <col min="11520" max="11520" width="5.28515625" style="414" customWidth="1"/>
    <col min="11521" max="11521" width="56.42578125" style="414" customWidth="1"/>
    <col min="11522" max="11522" width="10.28515625" style="414" customWidth="1"/>
    <col min="11523" max="11529" width="10.7109375" style="414" customWidth="1"/>
    <col min="11530" max="11530" width="9.140625" style="414"/>
    <col min="11531" max="11531" width="11.28515625" style="414" bestFit="1" customWidth="1"/>
    <col min="11532" max="11532" width="9.7109375" style="414" bestFit="1" customWidth="1"/>
    <col min="11533" max="11775" width="9.140625" style="414"/>
    <col min="11776" max="11776" width="5.28515625" style="414" customWidth="1"/>
    <col min="11777" max="11777" width="56.42578125" style="414" customWidth="1"/>
    <col min="11778" max="11778" width="10.28515625" style="414" customWidth="1"/>
    <col min="11779" max="11785" width="10.7109375" style="414" customWidth="1"/>
    <col min="11786" max="11786" width="9.140625" style="414"/>
    <col min="11787" max="11787" width="11.28515625" style="414" bestFit="1" customWidth="1"/>
    <col min="11788" max="11788" width="9.7109375" style="414" bestFit="1" customWidth="1"/>
    <col min="11789" max="12031" width="9.140625" style="414"/>
    <col min="12032" max="12032" width="5.28515625" style="414" customWidth="1"/>
    <col min="12033" max="12033" width="56.42578125" style="414" customWidth="1"/>
    <col min="12034" max="12034" width="10.28515625" style="414" customWidth="1"/>
    <col min="12035" max="12041" width="10.7109375" style="414" customWidth="1"/>
    <col min="12042" max="12042" width="9.140625" style="414"/>
    <col min="12043" max="12043" width="11.28515625" style="414" bestFit="1" customWidth="1"/>
    <col min="12044" max="12044" width="9.7109375" style="414" bestFit="1" customWidth="1"/>
    <col min="12045" max="12287" width="9.140625" style="414"/>
    <col min="12288" max="12288" width="5.28515625" style="414" customWidth="1"/>
    <col min="12289" max="12289" width="56.42578125" style="414" customWidth="1"/>
    <col min="12290" max="12290" width="10.28515625" style="414" customWidth="1"/>
    <col min="12291" max="12297" width="10.7109375" style="414" customWidth="1"/>
    <col min="12298" max="12298" width="9.140625" style="414"/>
    <col min="12299" max="12299" width="11.28515625" style="414" bestFit="1" customWidth="1"/>
    <col min="12300" max="12300" width="9.7109375" style="414" bestFit="1" customWidth="1"/>
    <col min="12301" max="12543" width="9.140625" style="414"/>
    <col min="12544" max="12544" width="5.28515625" style="414" customWidth="1"/>
    <col min="12545" max="12545" width="56.42578125" style="414" customWidth="1"/>
    <col min="12546" max="12546" width="10.28515625" style="414" customWidth="1"/>
    <col min="12547" max="12553" width="10.7109375" style="414" customWidth="1"/>
    <col min="12554" max="12554" width="9.140625" style="414"/>
    <col min="12555" max="12555" width="11.28515625" style="414" bestFit="1" customWidth="1"/>
    <col min="12556" max="12556" width="9.7109375" style="414" bestFit="1" customWidth="1"/>
    <col min="12557" max="12799" width="9.140625" style="414"/>
    <col min="12800" max="12800" width="5.28515625" style="414" customWidth="1"/>
    <col min="12801" max="12801" width="56.42578125" style="414" customWidth="1"/>
    <col min="12802" max="12802" width="10.28515625" style="414" customWidth="1"/>
    <col min="12803" max="12809" width="10.7109375" style="414" customWidth="1"/>
    <col min="12810" max="12810" width="9.140625" style="414"/>
    <col min="12811" max="12811" width="11.28515625" style="414" bestFit="1" customWidth="1"/>
    <col min="12812" max="12812" width="9.7109375" style="414" bestFit="1" customWidth="1"/>
    <col min="12813" max="13055" width="9.140625" style="414"/>
    <col min="13056" max="13056" width="5.28515625" style="414" customWidth="1"/>
    <col min="13057" max="13057" width="56.42578125" style="414" customWidth="1"/>
    <col min="13058" max="13058" width="10.28515625" style="414" customWidth="1"/>
    <col min="13059" max="13065" width="10.7109375" style="414" customWidth="1"/>
    <col min="13066" max="13066" width="9.140625" style="414"/>
    <col min="13067" max="13067" width="11.28515625" style="414" bestFit="1" customWidth="1"/>
    <col min="13068" max="13068" width="9.7109375" style="414" bestFit="1" customWidth="1"/>
    <col min="13069" max="13311" width="9.140625" style="414"/>
    <col min="13312" max="13312" width="5.28515625" style="414" customWidth="1"/>
    <col min="13313" max="13313" width="56.42578125" style="414" customWidth="1"/>
    <col min="13314" max="13314" width="10.28515625" style="414" customWidth="1"/>
    <col min="13315" max="13321" width="10.7109375" style="414" customWidth="1"/>
    <col min="13322" max="13322" width="9.140625" style="414"/>
    <col min="13323" max="13323" width="11.28515625" style="414" bestFit="1" customWidth="1"/>
    <col min="13324" max="13324" width="9.7109375" style="414" bestFit="1" customWidth="1"/>
    <col min="13325" max="13567" width="9.140625" style="414"/>
    <col min="13568" max="13568" width="5.28515625" style="414" customWidth="1"/>
    <col min="13569" max="13569" width="56.42578125" style="414" customWidth="1"/>
    <col min="13570" max="13570" width="10.28515625" style="414" customWidth="1"/>
    <col min="13571" max="13577" width="10.7109375" style="414" customWidth="1"/>
    <col min="13578" max="13578" width="9.140625" style="414"/>
    <col min="13579" max="13579" width="11.28515625" style="414" bestFit="1" customWidth="1"/>
    <col min="13580" max="13580" width="9.7109375" style="414" bestFit="1" customWidth="1"/>
    <col min="13581" max="13823" width="9.140625" style="414"/>
    <col min="13824" max="13824" width="5.28515625" style="414" customWidth="1"/>
    <col min="13825" max="13825" width="56.42578125" style="414" customWidth="1"/>
    <col min="13826" max="13826" width="10.28515625" style="414" customWidth="1"/>
    <col min="13827" max="13833" width="10.7109375" style="414" customWidth="1"/>
    <col min="13834" max="13834" width="9.140625" style="414"/>
    <col min="13835" max="13835" width="11.28515625" style="414" bestFit="1" customWidth="1"/>
    <col min="13836" max="13836" width="9.7109375" style="414" bestFit="1" customWidth="1"/>
    <col min="13837" max="14079" width="9.140625" style="414"/>
    <col min="14080" max="14080" width="5.28515625" style="414" customWidth="1"/>
    <col min="14081" max="14081" width="56.42578125" style="414" customWidth="1"/>
    <col min="14082" max="14082" width="10.28515625" style="414" customWidth="1"/>
    <col min="14083" max="14089" width="10.7109375" style="414" customWidth="1"/>
    <col min="14090" max="14090" width="9.140625" style="414"/>
    <col min="14091" max="14091" width="11.28515625" style="414" bestFit="1" customWidth="1"/>
    <col min="14092" max="14092" width="9.7109375" style="414" bestFit="1" customWidth="1"/>
    <col min="14093" max="14335" width="9.140625" style="414"/>
    <col min="14336" max="14336" width="5.28515625" style="414" customWidth="1"/>
    <col min="14337" max="14337" width="56.42578125" style="414" customWidth="1"/>
    <col min="14338" max="14338" width="10.28515625" style="414" customWidth="1"/>
    <col min="14339" max="14345" width="10.7109375" style="414" customWidth="1"/>
    <col min="14346" max="14346" width="9.140625" style="414"/>
    <col min="14347" max="14347" width="11.28515625" style="414" bestFit="1" customWidth="1"/>
    <col min="14348" max="14348" width="9.7109375" style="414" bestFit="1" customWidth="1"/>
    <col min="14349" max="14591" width="9.140625" style="414"/>
    <col min="14592" max="14592" width="5.28515625" style="414" customWidth="1"/>
    <col min="14593" max="14593" width="56.42578125" style="414" customWidth="1"/>
    <col min="14594" max="14594" width="10.28515625" style="414" customWidth="1"/>
    <col min="14595" max="14601" width="10.7109375" style="414" customWidth="1"/>
    <col min="14602" max="14602" width="9.140625" style="414"/>
    <col min="14603" max="14603" width="11.28515625" style="414" bestFit="1" customWidth="1"/>
    <col min="14604" max="14604" width="9.7109375" style="414" bestFit="1" customWidth="1"/>
    <col min="14605" max="14847" width="9.140625" style="414"/>
    <col min="14848" max="14848" width="5.28515625" style="414" customWidth="1"/>
    <col min="14849" max="14849" width="56.42578125" style="414" customWidth="1"/>
    <col min="14850" max="14850" width="10.28515625" style="414" customWidth="1"/>
    <col min="14851" max="14857" width="10.7109375" style="414" customWidth="1"/>
    <col min="14858" max="14858" width="9.140625" style="414"/>
    <col min="14859" max="14859" width="11.28515625" style="414" bestFit="1" customWidth="1"/>
    <col min="14860" max="14860" width="9.7109375" style="414" bestFit="1" customWidth="1"/>
    <col min="14861" max="15103" width="9.140625" style="414"/>
    <col min="15104" max="15104" width="5.28515625" style="414" customWidth="1"/>
    <col min="15105" max="15105" width="56.42578125" style="414" customWidth="1"/>
    <col min="15106" max="15106" width="10.28515625" style="414" customWidth="1"/>
    <col min="15107" max="15113" width="10.7109375" style="414" customWidth="1"/>
    <col min="15114" max="15114" width="9.140625" style="414"/>
    <col min="15115" max="15115" width="11.28515625" style="414" bestFit="1" customWidth="1"/>
    <col min="15116" max="15116" width="9.7109375" style="414" bestFit="1" customWidth="1"/>
    <col min="15117" max="15359" width="9.140625" style="414"/>
    <col min="15360" max="15360" width="5.28515625" style="414" customWidth="1"/>
    <col min="15361" max="15361" width="56.42578125" style="414" customWidth="1"/>
    <col min="15362" max="15362" width="10.28515625" style="414" customWidth="1"/>
    <col min="15363" max="15369" width="10.7109375" style="414" customWidth="1"/>
    <col min="15370" max="15370" width="9.140625" style="414"/>
    <col min="15371" max="15371" width="11.28515625" style="414" bestFit="1" customWidth="1"/>
    <col min="15372" max="15372" width="9.7109375" style="414" bestFit="1" customWidth="1"/>
    <col min="15373" max="15615" width="9.140625" style="414"/>
    <col min="15616" max="15616" width="5.28515625" style="414" customWidth="1"/>
    <col min="15617" max="15617" width="56.42578125" style="414" customWidth="1"/>
    <col min="15618" max="15618" width="10.28515625" style="414" customWidth="1"/>
    <col min="15619" max="15625" width="10.7109375" style="414" customWidth="1"/>
    <col min="15626" max="15626" width="9.140625" style="414"/>
    <col min="15627" max="15627" width="11.28515625" style="414" bestFit="1" customWidth="1"/>
    <col min="15628" max="15628" width="9.7109375" style="414" bestFit="1" customWidth="1"/>
    <col min="15629" max="15871" width="9.140625" style="414"/>
    <col min="15872" max="15872" width="5.28515625" style="414" customWidth="1"/>
    <col min="15873" max="15873" width="56.42578125" style="414" customWidth="1"/>
    <col min="15874" max="15874" width="10.28515625" style="414" customWidth="1"/>
    <col min="15875" max="15881" width="10.7109375" style="414" customWidth="1"/>
    <col min="15882" max="15882" width="9.140625" style="414"/>
    <col min="15883" max="15883" width="11.28515625" style="414" bestFit="1" customWidth="1"/>
    <col min="15884" max="15884" width="9.7109375" style="414" bestFit="1" customWidth="1"/>
    <col min="15885" max="16127" width="9.140625" style="414"/>
    <col min="16128" max="16128" width="5.28515625" style="414" customWidth="1"/>
    <col min="16129" max="16129" width="56.42578125" style="414" customWidth="1"/>
    <col min="16130" max="16130" width="10.28515625" style="414" customWidth="1"/>
    <col min="16131" max="16137" width="10.7109375" style="414" customWidth="1"/>
    <col min="16138" max="16138" width="9.140625" style="414"/>
    <col min="16139" max="16139" width="11.28515625" style="414" bestFit="1" customWidth="1"/>
    <col min="16140" max="16140" width="9.7109375" style="414" bestFit="1" customWidth="1"/>
    <col min="16141" max="16384" width="9.140625" style="414"/>
  </cols>
  <sheetData>
    <row r="1" spans="1:12" ht="13.5" customHeight="1">
      <c r="B1" s="413"/>
      <c r="C1" s="413"/>
      <c r="D1" s="413"/>
      <c r="E1" s="413"/>
      <c r="F1" s="413"/>
      <c r="G1" s="413"/>
      <c r="H1" s="413"/>
      <c r="I1" s="413"/>
      <c r="J1" s="415" t="s">
        <v>0</v>
      </c>
    </row>
    <row r="2" spans="1:12" s="416" customFormat="1" ht="27.75" customHeight="1">
      <c r="A2" s="3349" t="s">
        <v>1407</v>
      </c>
      <c r="B2" s="3349"/>
      <c r="C2" s="3349"/>
      <c r="D2" s="3349"/>
      <c r="E2" s="3349"/>
      <c r="F2" s="3349"/>
      <c r="G2" s="3349"/>
      <c r="H2" s="3349"/>
      <c r="I2" s="3349"/>
      <c r="J2" s="3349"/>
    </row>
    <row r="3" spans="1:12" s="416" customFormat="1" ht="12.75" customHeight="1">
      <c r="A3" s="3349"/>
      <c r="B3" s="3349"/>
      <c r="C3" s="3349"/>
      <c r="D3" s="3349"/>
      <c r="E3" s="3349"/>
      <c r="F3" s="3349"/>
      <c r="G3" s="3349"/>
      <c r="H3" s="3349"/>
      <c r="I3" s="3349"/>
      <c r="J3" s="3349"/>
    </row>
    <row r="4" spans="1:12" s="416" customFormat="1" ht="12.75" customHeight="1">
      <c r="A4" s="417"/>
      <c r="B4" s="417"/>
      <c r="C4" s="417"/>
      <c r="D4" s="417"/>
      <c r="E4" s="417"/>
      <c r="F4" s="417"/>
      <c r="G4" s="417"/>
      <c r="H4" s="417"/>
      <c r="I4" s="417"/>
      <c r="J4" s="417"/>
    </row>
    <row r="5" spans="1:12" ht="15.75" customHeight="1">
      <c r="A5" s="3350" t="str">
        <f>'1. Анкетна карта'!A3:J3</f>
        <v>на "Водоснабдяване и канализация" ООД , гр. Враца</v>
      </c>
      <c r="B5" s="3350"/>
      <c r="C5" s="3350"/>
      <c r="D5" s="3350"/>
      <c r="E5" s="3350"/>
      <c r="F5" s="3350"/>
      <c r="G5" s="3350"/>
      <c r="H5" s="3350"/>
      <c r="I5" s="3350"/>
      <c r="J5" s="3350"/>
    </row>
    <row r="6" spans="1:12" ht="15.75" customHeight="1">
      <c r="A6" s="3350" t="str">
        <f>'1. Анкетна карта'!A4:J4</f>
        <v>ЕИК по БУЛСТАТ: 816090199</v>
      </c>
      <c r="B6" s="3350"/>
      <c r="C6" s="3350"/>
      <c r="D6" s="3350"/>
      <c r="E6" s="3350"/>
      <c r="F6" s="3350"/>
      <c r="G6" s="3350"/>
      <c r="H6" s="3350"/>
      <c r="I6" s="3350"/>
      <c r="J6" s="3350"/>
      <c r="K6" s="423"/>
    </row>
    <row r="7" spans="1:12" ht="13.5" thickBot="1">
      <c r="A7" s="414"/>
    </row>
    <row r="8" spans="1:12" s="416" customFormat="1" ht="54" customHeight="1" thickBot="1">
      <c r="A8" s="1607" t="s">
        <v>1</v>
      </c>
      <c r="B8" s="2888" t="s">
        <v>95</v>
      </c>
      <c r="C8" s="2889" t="s">
        <v>222</v>
      </c>
      <c r="D8" s="1608" t="str">
        <f>'Приложение '!$G12</f>
        <v>2015 г.</v>
      </c>
      <c r="E8" s="1608" t="str">
        <f>'Приложение '!$G13</f>
        <v>2016 г.</v>
      </c>
      <c r="F8" s="1608" t="str">
        <f>'Приложение '!$G14</f>
        <v>2017 г.</v>
      </c>
      <c r="G8" s="1608" t="str">
        <f>'Приложение '!$G15</f>
        <v>2018 г.</v>
      </c>
      <c r="H8" s="1608" t="str">
        <f>'Приложение '!$G16</f>
        <v>2019 г.</v>
      </c>
      <c r="I8" s="1608" t="str">
        <f>'Приложение '!$G17</f>
        <v>2020 г.</v>
      </c>
      <c r="J8" s="1609" t="str">
        <f>'Приложение '!$G18</f>
        <v>2021 г.</v>
      </c>
      <c r="K8" s="740"/>
      <c r="L8" s="418"/>
    </row>
    <row r="9" spans="1:12" ht="21" customHeight="1" thickBot="1">
      <c r="A9" s="1599" t="s">
        <v>223</v>
      </c>
      <c r="B9" s="2890" t="s">
        <v>224</v>
      </c>
      <c r="C9" s="2891"/>
      <c r="D9" s="1604"/>
      <c r="E9" s="1604"/>
      <c r="F9" s="1604"/>
      <c r="G9" s="1604"/>
      <c r="H9" s="1604"/>
      <c r="I9" s="1604"/>
      <c r="J9" s="1605"/>
      <c r="K9" s="423"/>
    </row>
    <row r="10" spans="1:12" s="419" customFormat="1" ht="15.75">
      <c r="A10" s="1600" t="s">
        <v>268</v>
      </c>
      <c r="B10" s="1603" t="s">
        <v>772</v>
      </c>
      <c r="C10" s="2892" t="s">
        <v>1052</v>
      </c>
      <c r="D10" s="1950">
        <f>D11+D12+D13+D14-D15-D16-D17-D18</f>
        <v>22866940</v>
      </c>
      <c r="E10" s="1950">
        <f t="shared" ref="E10:J10" si="0">E11+E12+E13+E14-E15-E16-E17-E18</f>
        <v>22005000</v>
      </c>
      <c r="F10" s="1950">
        <f t="shared" si="0"/>
        <v>23201365</v>
      </c>
      <c r="G10" s="1950">
        <f t="shared" si="0"/>
        <v>23201365</v>
      </c>
      <c r="H10" s="1950">
        <f t="shared" si="0"/>
        <v>23201365</v>
      </c>
      <c r="I10" s="1950">
        <f t="shared" si="0"/>
        <v>22000000</v>
      </c>
      <c r="J10" s="1951">
        <f t="shared" si="0"/>
        <v>20550000</v>
      </c>
      <c r="K10" s="441"/>
    </row>
    <row r="11" spans="1:12" s="419" customFormat="1" ht="15.75">
      <c r="A11" s="1601" t="s">
        <v>98</v>
      </c>
      <c r="B11" s="2893" t="s">
        <v>1181</v>
      </c>
      <c r="C11" s="2894" t="s">
        <v>1052</v>
      </c>
      <c r="D11" s="1952">
        <v>0</v>
      </c>
      <c r="E11" s="1952">
        <v>0</v>
      </c>
      <c r="F11" s="1952">
        <v>0</v>
      </c>
      <c r="G11" s="1952">
        <v>0</v>
      </c>
      <c r="H11" s="1952">
        <v>0</v>
      </c>
      <c r="I11" s="1952">
        <v>0</v>
      </c>
      <c r="J11" s="1952">
        <v>0</v>
      </c>
      <c r="K11" s="441"/>
    </row>
    <row r="12" spans="1:12" s="419" customFormat="1" ht="15.75">
      <c r="A12" s="1601" t="s">
        <v>99</v>
      </c>
      <c r="B12" s="2893" t="s">
        <v>1182</v>
      </c>
      <c r="C12" s="2894" t="s">
        <v>1052</v>
      </c>
      <c r="D12" s="1952">
        <v>1694404</v>
      </c>
      <c r="E12" s="1952">
        <v>1709000</v>
      </c>
      <c r="F12" s="1952">
        <v>1719221</v>
      </c>
      <c r="G12" s="1952">
        <v>1719221</v>
      </c>
      <c r="H12" s="1952">
        <v>1719221</v>
      </c>
      <c r="I12" s="1952">
        <v>1500000</v>
      </c>
      <c r="J12" s="1953">
        <v>1000000</v>
      </c>
      <c r="K12" s="738"/>
    </row>
    <row r="13" spans="1:12" s="419" customFormat="1" ht="15.75">
      <c r="A13" s="1601" t="s">
        <v>101</v>
      </c>
      <c r="B13" s="2893" t="s">
        <v>1183</v>
      </c>
      <c r="C13" s="2894" t="s">
        <v>1052</v>
      </c>
      <c r="D13" s="1952">
        <v>0</v>
      </c>
      <c r="E13" s="1952">
        <v>0</v>
      </c>
      <c r="F13" s="1952">
        <v>0</v>
      </c>
      <c r="G13" s="1952">
        <v>0</v>
      </c>
      <c r="H13" s="1952">
        <v>0</v>
      </c>
      <c r="I13" s="1952">
        <v>0</v>
      </c>
      <c r="J13" s="1952">
        <v>0</v>
      </c>
      <c r="K13" s="420"/>
    </row>
    <row r="14" spans="1:12" s="419" customFormat="1" ht="15.75">
      <c r="A14" s="1601" t="s">
        <v>197</v>
      </c>
      <c r="B14" s="2893" t="s">
        <v>1184</v>
      </c>
      <c r="C14" s="2894" t="s">
        <v>1052</v>
      </c>
      <c r="D14" s="1952">
        <v>21172536</v>
      </c>
      <c r="E14" s="1954">
        <v>20296000</v>
      </c>
      <c r="F14" s="1954">
        <v>21482144</v>
      </c>
      <c r="G14" s="1954">
        <v>21482144</v>
      </c>
      <c r="H14" s="1954">
        <v>21482144</v>
      </c>
      <c r="I14" s="1954">
        <v>20500000</v>
      </c>
      <c r="J14" s="1955">
        <v>19550000</v>
      </c>
      <c r="K14" s="420"/>
    </row>
    <row r="15" spans="1:12" s="419" customFormat="1" ht="15.75">
      <c r="A15" s="1601" t="s">
        <v>199</v>
      </c>
      <c r="B15" s="2893" t="s">
        <v>1379</v>
      </c>
      <c r="C15" s="2894" t="s">
        <v>1052</v>
      </c>
      <c r="D15" s="1952">
        <v>0</v>
      </c>
      <c r="E15" s="1952">
        <v>0</v>
      </c>
      <c r="F15" s="1952">
        <v>0</v>
      </c>
      <c r="G15" s="1952">
        <v>0</v>
      </c>
      <c r="H15" s="1952">
        <v>0</v>
      </c>
      <c r="I15" s="1952">
        <v>0</v>
      </c>
      <c r="J15" s="1952">
        <v>0</v>
      </c>
      <c r="K15" s="420"/>
    </row>
    <row r="16" spans="1:12" s="419" customFormat="1" ht="15.75">
      <c r="A16" s="1601" t="s">
        <v>201</v>
      </c>
      <c r="B16" s="2893" t="s">
        <v>1480</v>
      </c>
      <c r="C16" s="2894" t="s">
        <v>1052</v>
      </c>
      <c r="D16" s="1952">
        <v>0</v>
      </c>
      <c r="E16" s="1952">
        <v>0</v>
      </c>
      <c r="F16" s="1952">
        <v>0</v>
      </c>
      <c r="G16" s="1952">
        <v>0</v>
      </c>
      <c r="H16" s="1952">
        <v>0</v>
      </c>
      <c r="I16" s="1952">
        <v>0</v>
      </c>
      <c r="J16" s="1952">
        <v>0</v>
      </c>
      <c r="K16" s="420"/>
    </row>
    <row r="17" spans="1:12" s="419" customFormat="1" ht="15.75">
      <c r="A17" s="1601" t="s">
        <v>203</v>
      </c>
      <c r="B17" s="2893" t="s">
        <v>1380</v>
      </c>
      <c r="C17" s="2894" t="s">
        <v>1052</v>
      </c>
      <c r="D17" s="1952">
        <v>0</v>
      </c>
      <c r="E17" s="1952">
        <v>0</v>
      </c>
      <c r="F17" s="1952">
        <v>0</v>
      </c>
      <c r="G17" s="1952">
        <v>0</v>
      </c>
      <c r="H17" s="1952">
        <v>0</v>
      </c>
      <c r="I17" s="1952">
        <v>0</v>
      </c>
      <c r="J17" s="1952">
        <v>0</v>
      </c>
      <c r="K17" s="420"/>
    </row>
    <row r="18" spans="1:12" s="419" customFormat="1" ht="18" customHeight="1" thickBot="1">
      <c r="A18" s="1602" t="s">
        <v>205</v>
      </c>
      <c r="B18" s="2893" t="s">
        <v>1481</v>
      </c>
      <c r="C18" s="2894" t="s">
        <v>1052</v>
      </c>
      <c r="D18" s="1952">
        <v>0</v>
      </c>
      <c r="E18" s="1952">
        <v>0</v>
      </c>
      <c r="F18" s="1952">
        <v>0</v>
      </c>
      <c r="G18" s="1952">
        <v>0</v>
      </c>
      <c r="H18" s="1952">
        <v>0</v>
      </c>
      <c r="I18" s="1952">
        <v>0</v>
      </c>
      <c r="J18" s="1952">
        <v>0</v>
      </c>
      <c r="K18" s="420"/>
    </row>
    <row r="19" spans="1:12" s="419" customFormat="1" ht="15" customHeight="1">
      <c r="A19" s="3335" t="s">
        <v>103</v>
      </c>
      <c r="B19" s="3352" t="s">
        <v>773</v>
      </c>
      <c r="C19" s="2895" t="s">
        <v>1052</v>
      </c>
      <c r="D19" s="1958">
        <f>D21+D31</f>
        <v>8230690</v>
      </c>
      <c r="E19" s="1959">
        <f t="shared" ref="E19:J19" si="1">E21+E31</f>
        <v>8092700</v>
      </c>
      <c r="F19" s="1959">
        <f t="shared" si="1"/>
        <v>8804987</v>
      </c>
      <c r="G19" s="1959">
        <f t="shared" si="1"/>
        <v>8804987</v>
      </c>
      <c r="H19" s="1959">
        <f t="shared" si="1"/>
        <v>8804987</v>
      </c>
      <c r="I19" s="1959">
        <f t="shared" si="1"/>
        <v>8485500</v>
      </c>
      <c r="J19" s="1960">
        <f t="shared" si="1"/>
        <v>8055000</v>
      </c>
      <c r="K19" s="420"/>
      <c r="L19" s="441"/>
    </row>
    <row r="20" spans="1:12" s="419" customFormat="1" ht="15" customHeight="1" thickBot="1">
      <c r="A20" s="3351"/>
      <c r="B20" s="3353"/>
      <c r="C20" s="2896" t="s">
        <v>226</v>
      </c>
      <c r="D20" s="1961">
        <f>D19/D10</f>
        <v>0.35993840889948547</v>
      </c>
      <c r="E20" s="1962">
        <f t="shared" ref="E20:J20" si="2">E19/E10</f>
        <v>0.36776641672347193</v>
      </c>
      <c r="F20" s="1962">
        <f t="shared" si="2"/>
        <v>0.37950297320868837</v>
      </c>
      <c r="G20" s="1962">
        <f t="shared" si="2"/>
        <v>0.37950297320868837</v>
      </c>
      <c r="H20" s="1962">
        <f t="shared" si="2"/>
        <v>0.37950297320868837</v>
      </c>
      <c r="I20" s="1962">
        <f t="shared" si="2"/>
        <v>0.38570454545454547</v>
      </c>
      <c r="J20" s="1963">
        <f t="shared" si="2"/>
        <v>0.39197080291970804</v>
      </c>
      <c r="K20" s="420"/>
    </row>
    <row r="21" spans="1:12" s="419" customFormat="1" ht="15" customHeight="1">
      <c r="A21" s="3332" t="s">
        <v>105</v>
      </c>
      <c r="B21" s="3354" t="s">
        <v>774</v>
      </c>
      <c r="C21" s="2897" t="s">
        <v>1052</v>
      </c>
      <c r="D21" s="1964">
        <f>D23+D27</f>
        <v>7864819</v>
      </c>
      <c r="E21" s="1965">
        <f t="shared" ref="E21:J21" si="3">E23+E27</f>
        <v>7734700</v>
      </c>
      <c r="F21" s="1965">
        <f t="shared" si="3"/>
        <v>8402805</v>
      </c>
      <c r="G21" s="1965">
        <f t="shared" si="3"/>
        <v>8402805</v>
      </c>
      <c r="H21" s="1965">
        <f t="shared" si="3"/>
        <v>8402805</v>
      </c>
      <c r="I21" s="1965">
        <f t="shared" si="3"/>
        <v>8155500</v>
      </c>
      <c r="J21" s="1966">
        <f t="shared" si="3"/>
        <v>7805000</v>
      </c>
      <c r="K21" s="420"/>
    </row>
    <row r="22" spans="1:12" s="419" customFormat="1" ht="15" customHeight="1">
      <c r="A22" s="3333"/>
      <c r="B22" s="3355"/>
      <c r="C22" s="2894" t="s">
        <v>226</v>
      </c>
      <c r="D22" s="1967">
        <f>D21/D10</f>
        <v>0.3439384106487357</v>
      </c>
      <c r="E22" s="1968">
        <f t="shared" ref="E22:J22" si="4">E21/E10</f>
        <v>0.35149738695750965</v>
      </c>
      <c r="F22" s="1968">
        <f t="shared" si="4"/>
        <v>0.36216856206520609</v>
      </c>
      <c r="G22" s="1968">
        <f t="shared" si="4"/>
        <v>0.36216856206520609</v>
      </c>
      <c r="H22" s="1968">
        <f t="shared" si="4"/>
        <v>0.36216856206520609</v>
      </c>
      <c r="I22" s="1968">
        <f t="shared" si="4"/>
        <v>0.37070454545454545</v>
      </c>
      <c r="J22" s="1969">
        <f t="shared" si="4"/>
        <v>0.37980535279805355</v>
      </c>
      <c r="K22" s="420"/>
    </row>
    <row r="23" spans="1:12" s="419" customFormat="1" ht="15" customHeight="1">
      <c r="A23" s="742" t="s">
        <v>775</v>
      </c>
      <c r="B23" s="2898" t="s">
        <v>776</v>
      </c>
      <c r="C23" s="2894" t="s">
        <v>1052</v>
      </c>
      <c r="D23" s="1970">
        <f>SUM(D24:D26)</f>
        <v>7864819</v>
      </c>
      <c r="E23" s="1971">
        <f t="shared" ref="E23:J23" si="5">SUM(E24:E26)</f>
        <v>7734700</v>
      </c>
      <c r="F23" s="1971">
        <f t="shared" si="5"/>
        <v>8402805</v>
      </c>
      <c r="G23" s="1971">
        <f t="shared" si="5"/>
        <v>8402805</v>
      </c>
      <c r="H23" s="1971">
        <f t="shared" si="5"/>
        <v>8402805</v>
      </c>
      <c r="I23" s="1971">
        <f t="shared" si="5"/>
        <v>8155500</v>
      </c>
      <c r="J23" s="1972">
        <f t="shared" si="5"/>
        <v>7805000</v>
      </c>
      <c r="K23" s="420"/>
    </row>
    <row r="24" spans="1:12" s="419" customFormat="1" ht="15" customHeight="1">
      <c r="A24" s="743" t="s">
        <v>777</v>
      </c>
      <c r="B24" s="757" t="s">
        <v>778</v>
      </c>
      <c r="C24" s="2894" t="s">
        <v>1052</v>
      </c>
      <c r="D24" s="1952">
        <v>5871435</v>
      </c>
      <c r="E24" s="1952">
        <v>5523000</v>
      </c>
      <c r="F24" s="1952">
        <v>6273065</v>
      </c>
      <c r="G24" s="1952">
        <v>6273065</v>
      </c>
      <c r="H24" s="1952">
        <v>6273065</v>
      </c>
      <c r="I24" s="1952">
        <v>6150500</v>
      </c>
      <c r="J24" s="1953">
        <v>5900000</v>
      </c>
      <c r="K24" s="420"/>
    </row>
    <row r="25" spans="1:12" s="419" customFormat="1" ht="15" customHeight="1">
      <c r="A25" s="743" t="s">
        <v>779</v>
      </c>
      <c r="B25" s="2899" t="s">
        <v>780</v>
      </c>
      <c r="C25" s="2894" t="s">
        <v>1052</v>
      </c>
      <c r="D25" s="1952">
        <v>1937404</v>
      </c>
      <c r="E25" s="1952">
        <v>2158000</v>
      </c>
      <c r="F25" s="1952">
        <v>2069930</v>
      </c>
      <c r="G25" s="1952">
        <v>2069930</v>
      </c>
      <c r="H25" s="1952">
        <v>2069930</v>
      </c>
      <c r="I25" s="1952">
        <v>1950000</v>
      </c>
      <c r="J25" s="1953">
        <v>1850000</v>
      </c>
      <c r="K25" s="420"/>
    </row>
    <row r="26" spans="1:12" s="419" customFormat="1" ht="15" customHeight="1">
      <c r="A26" s="743" t="s">
        <v>781</v>
      </c>
      <c r="B26" s="757" t="s">
        <v>782</v>
      </c>
      <c r="C26" s="2894" t="s">
        <v>1052</v>
      </c>
      <c r="D26" s="1952">
        <v>55980</v>
      </c>
      <c r="E26" s="1952">
        <v>53700</v>
      </c>
      <c r="F26" s="1952">
        <v>59810</v>
      </c>
      <c r="G26" s="1952">
        <v>59810</v>
      </c>
      <c r="H26" s="1952">
        <v>59810</v>
      </c>
      <c r="I26" s="1952">
        <v>55000</v>
      </c>
      <c r="J26" s="1953">
        <v>55000</v>
      </c>
      <c r="K26" s="420"/>
    </row>
    <row r="27" spans="1:12" s="419" customFormat="1" ht="15" customHeight="1">
      <c r="A27" s="742" t="s">
        <v>783</v>
      </c>
      <c r="B27" s="2898" t="s">
        <v>784</v>
      </c>
      <c r="C27" s="2894" t="s">
        <v>1052</v>
      </c>
      <c r="D27" s="1970">
        <f>SUM(D28:D30)</f>
        <v>0</v>
      </c>
      <c r="E27" s="1971">
        <f t="shared" ref="E27:J27" si="6">SUM(E28:E30)</f>
        <v>0</v>
      </c>
      <c r="F27" s="1971">
        <f t="shared" si="6"/>
        <v>0</v>
      </c>
      <c r="G27" s="1971">
        <f t="shared" si="6"/>
        <v>0</v>
      </c>
      <c r="H27" s="1971">
        <f t="shared" si="6"/>
        <v>0</v>
      </c>
      <c r="I27" s="1971">
        <f t="shared" si="6"/>
        <v>0</v>
      </c>
      <c r="J27" s="1972">
        <f t="shared" si="6"/>
        <v>0</v>
      </c>
      <c r="K27" s="420"/>
    </row>
    <row r="28" spans="1:12" s="419" customFormat="1" ht="15" customHeight="1">
      <c r="A28" s="743" t="s">
        <v>785</v>
      </c>
      <c r="B28" s="757" t="s">
        <v>778</v>
      </c>
      <c r="C28" s="2894" t="s">
        <v>1052</v>
      </c>
      <c r="D28" s="1952">
        <v>0</v>
      </c>
      <c r="E28" s="1952">
        <v>0</v>
      </c>
      <c r="F28" s="1952">
        <v>0</v>
      </c>
      <c r="G28" s="1952">
        <v>0</v>
      </c>
      <c r="H28" s="1952">
        <v>0</v>
      </c>
      <c r="I28" s="1952">
        <v>0</v>
      </c>
      <c r="J28" s="1952">
        <v>0</v>
      </c>
      <c r="K28" s="420"/>
    </row>
    <row r="29" spans="1:12" s="419" customFormat="1" ht="15" customHeight="1">
      <c r="A29" s="743" t="s">
        <v>786</v>
      </c>
      <c r="B29" s="2899" t="s">
        <v>780</v>
      </c>
      <c r="C29" s="2894" t="s">
        <v>1052</v>
      </c>
      <c r="D29" s="1952">
        <v>0</v>
      </c>
      <c r="E29" s="1952">
        <v>0</v>
      </c>
      <c r="F29" s="1952">
        <v>0</v>
      </c>
      <c r="G29" s="1952">
        <v>0</v>
      </c>
      <c r="H29" s="1952">
        <v>0</v>
      </c>
      <c r="I29" s="1952">
        <v>0</v>
      </c>
      <c r="J29" s="1952">
        <v>0</v>
      </c>
      <c r="K29" s="420"/>
    </row>
    <row r="30" spans="1:12" s="419" customFormat="1" ht="15" customHeight="1" thickBot="1">
      <c r="A30" s="744" t="s">
        <v>787</v>
      </c>
      <c r="B30" s="758" t="s">
        <v>782</v>
      </c>
      <c r="C30" s="2900" t="s">
        <v>1052</v>
      </c>
      <c r="D30" s="1952">
        <v>0</v>
      </c>
      <c r="E30" s="1952">
        <v>0</v>
      </c>
      <c r="F30" s="1952">
        <v>0</v>
      </c>
      <c r="G30" s="1952">
        <v>0</v>
      </c>
      <c r="H30" s="1952">
        <v>0</v>
      </c>
      <c r="I30" s="1952">
        <v>0</v>
      </c>
      <c r="J30" s="1952">
        <v>0</v>
      </c>
      <c r="K30" s="420"/>
    </row>
    <row r="31" spans="1:12" s="419" customFormat="1" ht="15" customHeight="1">
      <c r="A31" s="3356" t="s">
        <v>107</v>
      </c>
      <c r="B31" s="3358" t="s">
        <v>922</v>
      </c>
      <c r="C31" s="2901" t="s">
        <v>1052</v>
      </c>
      <c r="D31" s="1973">
        <f>D33+D34</f>
        <v>365871</v>
      </c>
      <c r="E31" s="1974">
        <f t="shared" ref="E31:J31" si="7">E33+E34</f>
        <v>358000</v>
      </c>
      <c r="F31" s="1974">
        <f t="shared" si="7"/>
        <v>402182</v>
      </c>
      <c r="G31" s="1974">
        <f t="shared" si="7"/>
        <v>402182</v>
      </c>
      <c r="H31" s="1974">
        <f t="shared" si="7"/>
        <v>402182</v>
      </c>
      <c r="I31" s="1974">
        <f t="shared" si="7"/>
        <v>330000</v>
      </c>
      <c r="J31" s="1975">
        <f t="shared" si="7"/>
        <v>250000</v>
      </c>
      <c r="K31" s="420"/>
    </row>
    <row r="32" spans="1:12" s="419" customFormat="1">
      <c r="A32" s="3357"/>
      <c r="B32" s="3355"/>
      <c r="C32" s="2894" t="s">
        <v>226</v>
      </c>
      <c r="D32" s="1976">
        <f>D31/D10</f>
        <v>1.5999998250749773E-2</v>
      </c>
      <c r="E32" s="1977">
        <f t="shared" ref="E32:J32" si="8">E31/E10</f>
        <v>1.6269029765962281E-2</v>
      </c>
      <c r="F32" s="1977">
        <f t="shared" si="8"/>
        <v>1.733441114348229E-2</v>
      </c>
      <c r="G32" s="1977">
        <f t="shared" si="8"/>
        <v>1.733441114348229E-2</v>
      </c>
      <c r="H32" s="1977">
        <f t="shared" si="8"/>
        <v>1.733441114348229E-2</v>
      </c>
      <c r="I32" s="1977">
        <f t="shared" si="8"/>
        <v>1.4999999999999999E-2</v>
      </c>
      <c r="J32" s="1978">
        <f t="shared" si="8"/>
        <v>1.2165450121654502E-2</v>
      </c>
      <c r="K32" s="420"/>
    </row>
    <row r="33" spans="1:13" s="419" customFormat="1" ht="15.75">
      <c r="A33" s="2637" t="s">
        <v>212</v>
      </c>
      <c r="B33" s="2636" t="s">
        <v>788</v>
      </c>
      <c r="C33" s="2894" t="s">
        <v>1052</v>
      </c>
      <c r="D33" s="1952">
        <v>0</v>
      </c>
      <c r="E33" s="1952">
        <v>0</v>
      </c>
      <c r="F33" s="1952">
        <v>0</v>
      </c>
      <c r="G33" s="1952">
        <v>0</v>
      </c>
      <c r="H33" s="1952">
        <v>0</v>
      </c>
      <c r="I33" s="1952">
        <v>0</v>
      </c>
      <c r="J33" s="1952">
        <v>0</v>
      </c>
      <c r="K33" s="420"/>
    </row>
    <row r="34" spans="1:13" s="419" customFormat="1" ht="15" customHeight="1" thickBot="1">
      <c r="A34" s="745" t="s">
        <v>217</v>
      </c>
      <c r="B34" s="759" t="s">
        <v>789</v>
      </c>
      <c r="C34" s="2900" t="s">
        <v>1052</v>
      </c>
      <c r="D34" s="1956">
        <v>365871</v>
      </c>
      <c r="E34" s="1956">
        <v>358000</v>
      </c>
      <c r="F34" s="1956">
        <v>402182</v>
      </c>
      <c r="G34" s="1956">
        <v>402182</v>
      </c>
      <c r="H34" s="1956">
        <v>402182</v>
      </c>
      <c r="I34" s="1956">
        <v>330000</v>
      </c>
      <c r="J34" s="1979">
        <v>250000</v>
      </c>
      <c r="K34" s="420"/>
    </row>
    <row r="35" spans="1:13" s="419" customFormat="1" ht="15" customHeight="1">
      <c r="A35" s="3359" t="s">
        <v>110</v>
      </c>
      <c r="B35" s="3360" t="s">
        <v>923</v>
      </c>
      <c r="C35" s="2892" t="s">
        <v>1052</v>
      </c>
      <c r="D35" s="1950">
        <f>D38+D42</f>
        <v>14636250</v>
      </c>
      <c r="E35" s="1980">
        <f t="shared" ref="E35:J35" si="9">E38+E42</f>
        <v>13912300</v>
      </c>
      <c r="F35" s="1980">
        <f t="shared" si="9"/>
        <v>14396378</v>
      </c>
      <c r="G35" s="1980">
        <f t="shared" si="9"/>
        <v>14396378</v>
      </c>
      <c r="H35" s="1980">
        <f t="shared" si="9"/>
        <v>14396378</v>
      </c>
      <c r="I35" s="1980">
        <f t="shared" si="9"/>
        <v>13514500</v>
      </c>
      <c r="J35" s="1981">
        <f t="shared" si="9"/>
        <v>12495000</v>
      </c>
      <c r="K35" s="420"/>
    </row>
    <row r="36" spans="1:13" s="419" customFormat="1" ht="15" customHeight="1">
      <c r="A36" s="3336"/>
      <c r="B36" s="3361"/>
      <c r="C36" s="2902" t="s">
        <v>226</v>
      </c>
      <c r="D36" s="1982">
        <f>D35/D10</f>
        <v>0.64006159110051453</v>
      </c>
      <c r="E36" s="1983">
        <f t="shared" ref="E36:J36" si="10">E35/E10</f>
        <v>0.63223358327652801</v>
      </c>
      <c r="F36" s="1983">
        <f t="shared" si="10"/>
        <v>0.62049702679131158</v>
      </c>
      <c r="G36" s="1983">
        <f t="shared" si="10"/>
        <v>0.62049702679131158</v>
      </c>
      <c r="H36" s="1983">
        <f t="shared" si="10"/>
        <v>0.62049702679131158</v>
      </c>
      <c r="I36" s="1983">
        <f t="shared" si="10"/>
        <v>0.61429545454545453</v>
      </c>
      <c r="J36" s="1984">
        <f t="shared" si="10"/>
        <v>0.60802919708029202</v>
      </c>
      <c r="K36" s="420"/>
    </row>
    <row r="37" spans="1:13" s="419" customFormat="1" ht="15" customHeight="1" thickBot="1">
      <c r="A37" s="3351"/>
      <c r="B37" s="3353"/>
      <c r="C37" s="2896" t="s">
        <v>1485</v>
      </c>
      <c r="D37" s="1985">
        <f>D35/'2. Променливи'!E24/365</f>
        <v>14.065000024024254</v>
      </c>
      <c r="E37" s="1986">
        <f>E35/'2. Променливи'!F24/365</f>
        <v>13.369305650985236</v>
      </c>
      <c r="F37" s="1986">
        <f>F35/'2. Променливи'!G24/365</f>
        <v>13.834490181287027</v>
      </c>
      <c r="G37" s="1986">
        <f>G35/'2. Променливи'!H24/365</f>
        <v>13.834490181287027</v>
      </c>
      <c r="H37" s="1986">
        <f>H35/'2. Променливи'!I24/365</f>
        <v>13.834490181287027</v>
      </c>
      <c r="I37" s="1986">
        <f>I35/'2. Променливи'!J24/365</f>
        <v>12.987031707211599</v>
      </c>
      <c r="J37" s="1987">
        <f>J35/'2. Променливи'!K24/365</f>
        <v>12.00732259288978</v>
      </c>
      <c r="K37" s="420"/>
    </row>
    <row r="38" spans="1:13" s="422" customFormat="1" ht="15" customHeight="1">
      <c r="A38" s="3332" t="s">
        <v>227</v>
      </c>
      <c r="B38" s="3363" t="s">
        <v>790</v>
      </c>
      <c r="C38" s="2897" t="s">
        <v>1052</v>
      </c>
      <c r="D38" s="1988">
        <f>D40+D41</f>
        <v>415621</v>
      </c>
      <c r="E38" s="1989">
        <f t="shared" ref="E38:J38" si="11">E40+E41</f>
        <v>402000</v>
      </c>
      <c r="F38" s="1989">
        <f t="shared" si="11"/>
        <v>435560</v>
      </c>
      <c r="G38" s="1989">
        <f t="shared" si="11"/>
        <v>435560</v>
      </c>
      <c r="H38" s="1989">
        <f t="shared" si="11"/>
        <v>435560</v>
      </c>
      <c r="I38" s="1989">
        <f t="shared" si="11"/>
        <v>300000</v>
      </c>
      <c r="J38" s="1990">
        <f t="shared" si="11"/>
        <v>200000</v>
      </c>
      <c r="K38" s="421"/>
    </row>
    <row r="39" spans="1:13" s="422" customFormat="1" ht="15" customHeight="1">
      <c r="A39" s="3333"/>
      <c r="B39" s="3364"/>
      <c r="C39" s="2894" t="s">
        <v>226</v>
      </c>
      <c r="D39" s="1991">
        <f t="shared" ref="D39:J39" si="12">D38/D10</f>
        <v>1.8175628221353622E-2</v>
      </c>
      <c r="E39" s="1992">
        <f t="shared" si="12"/>
        <v>1.8268575323790049E-2</v>
      </c>
      <c r="F39" s="1992">
        <f t="shared" si="12"/>
        <v>1.8773033396957465E-2</v>
      </c>
      <c r="G39" s="1992">
        <f t="shared" si="12"/>
        <v>1.8773033396957465E-2</v>
      </c>
      <c r="H39" s="1992">
        <f t="shared" si="12"/>
        <v>1.8773033396957465E-2</v>
      </c>
      <c r="I39" s="1992">
        <f t="shared" si="12"/>
        <v>1.3636363636363636E-2</v>
      </c>
      <c r="J39" s="1993">
        <f t="shared" si="12"/>
        <v>9.7323600973236012E-3</v>
      </c>
      <c r="K39" s="421"/>
    </row>
    <row r="40" spans="1:13" s="422" customFormat="1" ht="15" customHeight="1">
      <c r="A40" s="746" t="s">
        <v>791</v>
      </c>
      <c r="B40" s="760" t="s">
        <v>792</v>
      </c>
      <c r="C40" s="2894" t="s">
        <v>1052</v>
      </c>
      <c r="D40" s="1952">
        <v>0</v>
      </c>
      <c r="E40" s="1952">
        <v>0</v>
      </c>
      <c r="F40" s="1952">
        <v>0</v>
      </c>
      <c r="G40" s="1952">
        <v>0</v>
      </c>
      <c r="H40" s="1952">
        <v>0</v>
      </c>
      <c r="I40" s="1952">
        <v>0</v>
      </c>
      <c r="J40" s="1952">
        <v>0</v>
      </c>
      <c r="K40" s="421"/>
    </row>
    <row r="41" spans="1:13" s="422" customFormat="1" ht="15" customHeight="1" thickBot="1">
      <c r="A41" s="747" t="s">
        <v>793</v>
      </c>
      <c r="B41" s="761" t="s">
        <v>794</v>
      </c>
      <c r="C41" s="2900" t="s">
        <v>1052</v>
      </c>
      <c r="D41" s="1956">
        <v>415621</v>
      </c>
      <c r="E41" s="1956">
        <v>402000</v>
      </c>
      <c r="F41" s="1956">
        <v>435560</v>
      </c>
      <c r="G41" s="1956">
        <v>435560</v>
      </c>
      <c r="H41" s="1956">
        <v>435560</v>
      </c>
      <c r="I41" s="1956">
        <v>300000</v>
      </c>
      <c r="J41" s="1979">
        <v>200000</v>
      </c>
      <c r="K41" s="421"/>
    </row>
    <row r="42" spans="1:13" s="422" customFormat="1" ht="15" customHeight="1">
      <c r="A42" s="3332" t="s">
        <v>228</v>
      </c>
      <c r="B42" s="3341" t="s">
        <v>795</v>
      </c>
      <c r="C42" s="2897" t="s">
        <v>1052</v>
      </c>
      <c r="D42" s="1988">
        <f>SUM(D44:D47)</f>
        <v>14220629</v>
      </c>
      <c r="E42" s="1989">
        <f t="shared" ref="E42:J42" si="13">SUM(E44:E47)</f>
        <v>13510300</v>
      </c>
      <c r="F42" s="1989">
        <f t="shared" si="13"/>
        <v>13960818</v>
      </c>
      <c r="G42" s="1989">
        <f t="shared" si="13"/>
        <v>13960818</v>
      </c>
      <c r="H42" s="1989">
        <f t="shared" si="13"/>
        <v>13960818</v>
      </c>
      <c r="I42" s="1989">
        <f t="shared" si="13"/>
        <v>13214500</v>
      </c>
      <c r="J42" s="1990">
        <f t="shared" si="13"/>
        <v>12295000</v>
      </c>
      <c r="K42" s="421"/>
    </row>
    <row r="43" spans="1:13" s="422" customFormat="1" ht="15" customHeight="1">
      <c r="A43" s="3333"/>
      <c r="B43" s="3342"/>
      <c r="C43" s="2894" t="s">
        <v>226</v>
      </c>
      <c r="D43" s="1991">
        <f t="shared" ref="D43:J43" si="14">D42/D10</f>
        <v>0.62188596287916087</v>
      </c>
      <c r="E43" s="1992">
        <f t="shared" si="14"/>
        <v>0.61396500795273801</v>
      </c>
      <c r="F43" s="1992">
        <f t="shared" si="14"/>
        <v>0.60172399339435412</v>
      </c>
      <c r="G43" s="1992">
        <f t="shared" si="14"/>
        <v>0.60172399339435412</v>
      </c>
      <c r="H43" s="1992">
        <f t="shared" si="14"/>
        <v>0.60172399339435412</v>
      </c>
      <c r="I43" s="1992">
        <f t="shared" si="14"/>
        <v>0.60065909090909086</v>
      </c>
      <c r="J43" s="1993">
        <f t="shared" si="14"/>
        <v>0.59829683698296832</v>
      </c>
      <c r="K43" s="421"/>
    </row>
    <row r="44" spans="1:13" s="422" customFormat="1" ht="25.5">
      <c r="A44" s="746" t="s">
        <v>796</v>
      </c>
      <c r="B44" s="762" t="s">
        <v>797</v>
      </c>
      <c r="C44" s="2894" t="s">
        <v>1052</v>
      </c>
      <c r="D44" s="1952">
        <v>0</v>
      </c>
      <c r="E44" s="1952">
        <v>0</v>
      </c>
      <c r="F44" s="1952">
        <v>0</v>
      </c>
      <c r="G44" s="1952">
        <v>0</v>
      </c>
      <c r="H44" s="1952">
        <v>0</v>
      </c>
      <c r="I44" s="1952">
        <v>0</v>
      </c>
      <c r="J44" s="1952">
        <v>0</v>
      </c>
      <c r="K44" s="421"/>
    </row>
    <row r="45" spans="1:13" s="422" customFormat="1" ht="15" customHeight="1">
      <c r="A45" s="746" t="s">
        <v>798</v>
      </c>
      <c r="B45" s="760" t="s">
        <v>799</v>
      </c>
      <c r="C45" s="2894" t="s">
        <v>1052</v>
      </c>
      <c r="D45" s="1952">
        <v>14055568</v>
      </c>
      <c r="E45" s="1952">
        <v>13346240</v>
      </c>
      <c r="F45" s="1952">
        <v>13827149</v>
      </c>
      <c r="G45" s="1952">
        <v>13827149</v>
      </c>
      <c r="H45" s="1952">
        <v>13827149</v>
      </c>
      <c r="I45" s="1952">
        <v>13094500</v>
      </c>
      <c r="J45" s="1953">
        <v>12195000</v>
      </c>
      <c r="K45" s="421"/>
    </row>
    <row r="46" spans="1:13" s="422" customFormat="1" ht="15" customHeight="1">
      <c r="A46" s="746" t="s">
        <v>800</v>
      </c>
      <c r="B46" s="760" t="s">
        <v>801</v>
      </c>
      <c r="C46" s="2894" t="s">
        <v>1052</v>
      </c>
      <c r="D46" s="1952">
        <v>10620</v>
      </c>
      <c r="E46" s="1952">
        <v>10000</v>
      </c>
      <c r="F46" s="1952">
        <v>0</v>
      </c>
      <c r="G46" s="1952">
        <v>0</v>
      </c>
      <c r="H46" s="1952">
        <v>0</v>
      </c>
      <c r="I46" s="1952">
        <v>0</v>
      </c>
      <c r="J46" s="1953">
        <v>0</v>
      </c>
      <c r="K46" s="421"/>
    </row>
    <row r="47" spans="1:13" s="419" customFormat="1" ht="15" customHeight="1" thickBot="1">
      <c r="A47" s="747" t="s">
        <v>802</v>
      </c>
      <c r="B47" s="763" t="s">
        <v>803</v>
      </c>
      <c r="C47" s="2900" t="s">
        <v>1052</v>
      </c>
      <c r="D47" s="1956">
        <v>154441</v>
      </c>
      <c r="E47" s="1956">
        <v>154060</v>
      </c>
      <c r="F47" s="1956">
        <v>133669</v>
      </c>
      <c r="G47" s="1956">
        <v>133669</v>
      </c>
      <c r="H47" s="1956">
        <v>133669</v>
      </c>
      <c r="I47" s="1956">
        <v>120000</v>
      </c>
      <c r="J47" s="1979">
        <v>100000</v>
      </c>
      <c r="K47" s="420"/>
    </row>
    <row r="48" spans="1:13" s="419" customFormat="1" ht="15" customHeight="1">
      <c r="A48" s="3335" t="s">
        <v>111</v>
      </c>
      <c r="B48" s="3338" t="s">
        <v>804</v>
      </c>
      <c r="C48" s="2895" t="s">
        <v>1052</v>
      </c>
      <c r="D48" s="1958">
        <f t="shared" ref="D48:J48" si="15">D35+D31</f>
        <v>15002121</v>
      </c>
      <c r="E48" s="1959">
        <f t="shared" si="15"/>
        <v>14270300</v>
      </c>
      <c r="F48" s="1959">
        <f t="shared" si="15"/>
        <v>14798560</v>
      </c>
      <c r="G48" s="1959">
        <f t="shared" si="15"/>
        <v>14798560</v>
      </c>
      <c r="H48" s="1959">
        <f t="shared" si="15"/>
        <v>14798560</v>
      </c>
      <c r="I48" s="1959">
        <f t="shared" si="15"/>
        <v>13844500</v>
      </c>
      <c r="J48" s="1960">
        <f t="shared" si="15"/>
        <v>12745000</v>
      </c>
      <c r="K48" s="420"/>
      <c r="M48" s="419" t="s">
        <v>263</v>
      </c>
    </row>
    <row r="49" spans="1:17" s="419" customFormat="1" ht="15" customHeight="1">
      <c r="A49" s="3336"/>
      <c r="B49" s="3339"/>
      <c r="C49" s="2902" t="s">
        <v>226</v>
      </c>
      <c r="D49" s="1982">
        <f t="shared" ref="D49:I49" si="16">D48/D10</f>
        <v>0.65606158935126435</v>
      </c>
      <c r="E49" s="1983">
        <f t="shared" si="16"/>
        <v>0.64850261304249035</v>
      </c>
      <c r="F49" s="1983">
        <f t="shared" si="16"/>
        <v>0.63783143793479391</v>
      </c>
      <c r="G49" s="1983">
        <f t="shared" si="16"/>
        <v>0.63783143793479391</v>
      </c>
      <c r="H49" s="1983">
        <f t="shared" si="16"/>
        <v>0.63783143793479391</v>
      </c>
      <c r="I49" s="1983">
        <f t="shared" si="16"/>
        <v>0.62929545454545455</v>
      </c>
      <c r="J49" s="1984">
        <f>J48/J10</f>
        <v>0.6201946472019465</v>
      </c>
      <c r="K49" s="420"/>
    </row>
    <row r="50" spans="1:17" s="419" customFormat="1" ht="15" customHeight="1">
      <c r="A50" s="3336"/>
      <c r="B50" s="3339"/>
      <c r="C50" s="2902" t="s">
        <v>1485</v>
      </c>
      <c r="D50" s="1994">
        <f>D48/'2. Променливи'!E24/365</f>
        <v>14.416591150425468</v>
      </c>
      <c r="E50" s="1995">
        <f>E48/'2. Променливи'!F24/365</f>
        <v>13.713332980977594</v>
      </c>
      <c r="F50" s="1995">
        <f>F48/'2. Променливи'!G24/365</f>
        <v>14.220975096457384</v>
      </c>
      <c r="G50" s="1995">
        <f>G48/'2. Променливи'!H24/365</f>
        <v>14.220975096457384</v>
      </c>
      <c r="H50" s="1995">
        <f>H48/'2. Променливи'!I24/365</f>
        <v>14.220975096457384</v>
      </c>
      <c r="I50" s="1995">
        <f>I48/'2. Променливи'!J24/365</f>
        <v>13.304151871729699</v>
      </c>
      <c r="J50" s="1996">
        <f>J48/'2. Променливи'!K24/365</f>
        <v>12.247565141767128</v>
      </c>
      <c r="K50" s="420"/>
    </row>
    <row r="51" spans="1:17" s="419" customFormat="1" ht="15" customHeight="1" thickBot="1">
      <c r="A51" s="3337"/>
      <c r="B51" s="3340"/>
      <c r="C51" s="2903" t="s">
        <v>991</v>
      </c>
      <c r="D51" s="1997">
        <f>D10-D21-D48</f>
        <v>0</v>
      </c>
      <c r="E51" s="1998">
        <f t="shared" ref="E51:J51" si="17">E10-E21-E48</f>
        <v>0</v>
      </c>
      <c r="F51" s="1998">
        <f t="shared" si="17"/>
        <v>0</v>
      </c>
      <c r="G51" s="1998">
        <f t="shared" si="17"/>
        <v>0</v>
      </c>
      <c r="H51" s="1998">
        <f t="shared" si="17"/>
        <v>0</v>
      </c>
      <c r="I51" s="1998">
        <f t="shared" si="17"/>
        <v>0</v>
      </c>
      <c r="J51" s="1999">
        <f t="shared" si="17"/>
        <v>0</v>
      </c>
      <c r="K51" s="420"/>
    </row>
    <row r="52" spans="1:17" ht="21" customHeight="1" thickBot="1">
      <c r="A52" s="748" t="s">
        <v>229</v>
      </c>
      <c r="B52" s="764" t="s">
        <v>230</v>
      </c>
      <c r="C52" s="2904"/>
      <c r="D52" s="2000"/>
      <c r="E52" s="2000"/>
      <c r="F52" s="2000"/>
      <c r="G52" s="2000"/>
      <c r="H52" s="2000"/>
      <c r="I52" s="2000"/>
      <c r="J52" s="2001"/>
      <c r="K52" s="423"/>
      <c r="L52" s="424"/>
      <c r="M52" s="423"/>
      <c r="N52" s="423"/>
      <c r="O52" s="423"/>
      <c r="P52" s="423"/>
      <c r="Q52" s="423"/>
    </row>
    <row r="53" spans="1:17" ht="15" customHeight="1">
      <c r="A53" s="3343">
        <v>5</v>
      </c>
      <c r="B53" s="3345" t="s">
        <v>231</v>
      </c>
      <c r="C53" s="2892" t="s">
        <v>1052</v>
      </c>
      <c r="D53" s="1944">
        <f t="shared" ref="D53:J53" si="18">D55+D57</f>
        <v>4109660</v>
      </c>
      <c r="E53" s="1945">
        <f t="shared" si="18"/>
        <v>4300000</v>
      </c>
      <c r="F53" s="1945">
        <f t="shared" si="18"/>
        <v>4044755</v>
      </c>
      <c r="G53" s="1945">
        <f t="shared" si="18"/>
        <v>4210000</v>
      </c>
      <c r="H53" s="1945">
        <f t="shared" si="18"/>
        <v>4220000</v>
      </c>
      <c r="I53" s="1945">
        <f t="shared" si="18"/>
        <v>4230000</v>
      </c>
      <c r="J53" s="1946">
        <f t="shared" si="18"/>
        <v>4240000</v>
      </c>
      <c r="K53" s="425"/>
    </row>
    <row r="54" spans="1:17" ht="15" customHeight="1" thickBot="1">
      <c r="A54" s="3344"/>
      <c r="B54" s="3346"/>
      <c r="C54" s="2896" t="s">
        <v>226</v>
      </c>
      <c r="D54" s="1947">
        <f t="shared" ref="D54:J54" si="19">D53/D21</f>
        <v>0.52253713658254564</v>
      </c>
      <c r="E54" s="1948">
        <f t="shared" si="19"/>
        <v>0.55593623540667381</v>
      </c>
      <c r="F54" s="1948">
        <f t="shared" si="19"/>
        <v>0.48135771328740817</v>
      </c>
      <c r="G54" s="1948">
        <f t="shared" si="19"/>
        <v>0.50102317023898568</v>
      </c>
      <c r="H54" s="1948">
        <f t="shared" si="19"/>
        <v>0.5022132490281519</v>
      </c>
      <c r="I54" s="1948">
        <f t="shared" si="19"/>
        <v>0.51866838329961373</v>
      </c>
      <c r="J54" s="1949">
        <f t="shared" si="19"/>
        <v>0.54324151185137737</v>
      </c>
      <c r="K54" s="425"/>
    </row>
    <row r="55" spans="1:17" ht="15" customHeight="1">
      <c r="A55" s="749" t="s">
        <v>119</v>
      </c>
      <c r="B55" s="2905" t="s">
        <v>233</v>
      </c>
      <c r="C55" s="2897" t="s">
        <v>1052</v>
      </c>
      <c r="D55" s="1964">
        <f>D56</f>
        <v>2899620</v>
      </c>
      <c r="E55" s="1965">
        <f t="shared" ref="E55:J55" si="20">E56</f>
        <v>2900000</v>
      </c>
      <c r="F55" s="1965">
        <f t="shared" si="20"/>
        <v>2927908</v>
      </c>
      <c r="G55" s="1965">
        <f t="shared" si="20"/>
        <v>3010000</v>
      </c>
      <c r="H55" s="1965">
        <f t="shared" si="20"/>
        <v>3020000</v>
      </c>
      <c r="I55" s="1965">
        <f t="shared" si="20"/>
        <v>3030000</v>
      </c>
      <c r="J55" s="1966">
        <f t="shared" si="20"/>
        <v>3040000</v>
      </c>
      <c r="K55" s="423"/>
    </row>
    <row r="56" spans="1:17" s="423" customFormat="1" ht="15" customHeight="1">
      <c r="A56" s="750" t="s">
        <v>971</v>
      </c>
      <c r="B56" s="2906" t="s">
        <v>234</v>
      </c>
      <c r="C56" s="2894" t="s">
        <v>1052</v>
      </c>
      <c r="D56" s="1952">
        <v>2899620</v>
      </c>
      <c r="E56" s="1952">
        <v>2900000</v>
      </c>
      <c r="F56" s="1952">
        <v>2927908</v>
      </c>
      <c r="G56" s="1952">
        <v>3010000</v>
      </c>
      <c r="H56" s="1952">
        <v>3020000</v>
      </c>
      <c r="I56" s="1952">
        <v>3030000</v>
      </c>
      <c r="J56" s="1952">
        <v>3040000</v>
      </c>
    </row>
    <row r="57" spans="1:17" ht="15" customHeight="1">
      <c r="A57" s="751" t="s">
        <v>124</v>
      </c>
      <c r="B57" s="2907" t="s">
        <v>236</v>
      </c>
      <c r="C57" s="2894" t="s">
        <v>1052</v>
      </c>
      <c r="D57" s="1970">
        <f>D59+D60+D61</f>
        <v>1210040</v>
      </c>
      <c r="E57" s="1971">
        <f>E59+E60+E61</f>
        <v>1400000</v>
      </c>
      <c r="F57" s="1971">
        <f>F58</f>
        <v>1116847</v>
      </c>
      <c r="G57" s="1971">
        <f t="shared" ref="G57:J57" si="21">G58</f>
        <v>1200000</v>
      </c>
      <c r="H57" s="1971">
        <f t="shared" si="21"/>
        <v>1200000</v>
      </c>
      <c r="I57" s="1971">
        <f t="shared" si="21"/>
        <v>1200000</v>
      </c>
      <c r="J57" s="1972">
        <f t="shared" si="21"/>
        <v>1200000</v>
      </c>
    </row>
    <row r="58" spans="1:17" ht="15.75">
      <c r="A58" s="750" t="s">
        <v>880</v>
      </c>
      <c r="B58" s="2906" t="s">
        <v>812</v>
      </c>
      <c r="C58" s="2894" t="s">
        <v>1052</v>
      </c>
      <c r="D58" s="2005"/>
      <c r="E58" s="2006"/>
      <c r="F58" s="1954">
        <v>1116847</v>
      </c>
      <c r="G58" s="1954">
        <v>1200000</v>
      </c>
      <c r="H58" s="1954">
        <v>1200000</v>
      </c>
      <c r="I58" s="1954">
        <v>1200000</v>
      </c>
      <c r="J58" s="1954">
        <v>1200000</v>
      </c>
    </row>
    <row r="59" spans="1:17" ht="15.75">
      <c r="A59" s="750"/>
      <c r="B59" s="2908" t="s">
        <v>1381</v>
      </c>
      <c r="C59" s="2894" t="s">
        <v>1052</v>
      </c>
      <c r="D59" s="1952">
        <v>990663</v>
      </c>
      <c r="E59" s="1954">
        <v>1126000</v>
      </c>
      <c r="F59" s="2006"/>
      <c r="G59" s="2006"/>
      <c r="H59" s="2006"/>
      <c r="I59" s="2006"/>
      <c r="J59" s="2007"/>
    </row>
    <row r="60" spans="1:17" ht="15.75">
      <c r="A60" s="750"/>
      <c r="B60" s="2908" t="s">
        <v>1382</v>
      </c>
      <c r="C60" s="2894" t="s">
        <v>1052</v>
      </c>
      <c r="D60" s="1952">
        <v>145101</v>
      </c>
      <c r="E60" s="1954">
        <v>183000</v>
      </c>
      <c r="F60" s="2006"/>
      <c r="G60" s="2006"/>
      <c r="H60" s="2006"/>
      <c r="I60" s="2006"/>
      <c r="J60" s="2007"/>
    </row>
    <row r="61" spans="1:17" ht="16.5" thickBot="1">
      <c r="A61" s="752"/>
      <c r="B61" s="2909" t="s">
        <v>1383</v>
      </c>
      <c r="C61" s="2900" t="s">
        <v>1052</v>
      </c>
      <c r="D61" s="1956">
        <v>74276</v>
      </c>
      <c r="E61" s="1957">
        <v>91000</v>
      </c>
      <c r="F61" s="2008"/>
      <c r="G61" s="2008"/>
      <c r="H61" s="2008"/>
      <c r="I61" s="2008"/>
      <c r="J61" s="2009"/>
    </row>
    <row r="62" spans="1:17" ht="21" customHeight="1" thickBot="1">
      <c r="A62" s="753" t="s">
        <v>240</v>
      </c>
      <c r="B62" s="2910" t="s">
        <v>241</v>
      </c>
      <c r="C62" s="2904"/>
      <c r="D62" s="2010"/>
      <c r="E62" s="2010"/>
      <c r="F62" s="2010"/>
      <c r="G62" s="2010"/>
      <c r="H62" s="2010"/>
      <c r="I62" s="2010"/>
      <c r="J62" s="2011"/>
    </row>
    <row r="63" spans="1:17" ht="15" customHeight="1">
      <c r="A63" s="3343">
        <v>6</v>
      </c>
      <c r="B63" s="3345" t="s">
        <v>242</v>
      </c>
      <c r="C63" s="2892" t="s">
        <v>1052</v>
      </c>
      <c r="D63" s="1944">
        <f t="shared" ref="D63:J63" si="22">D65+D67</f>
        <v>3241142</v>
      </c>
      <c r="E63" s="1945">
        <f t="shared" si="22"/>
        <v>3110000</v>
      </c>
      <c r="F63" s="1945">
        <f t="shared" si="22"/>
        <v>2571479</v>
      </c>
      <c r="G63" s="1945">
        <f t="shared" si="22"/>
        <v>2887000</v>
      </c>
      <c r="H63" s="1945">
        <f t="shared" si="22"/>
        <v>2887000</v>
      </c>
      <c r="I63" s="1945">
        <f t="shared" si="22"/>
        <v>2887000</v>
      </c>
      <c r="J63" s="1946">
        <f t="shared" si="22"/>
        <v>2887000</v>
      </c>
    </row>
    <row r="64" spans="1:17" ht="15" customHeight="1" thickBot="1">
      <c r="A64" s="3344"/>
      <c r="B64" s="3346"/>
      <c r="C64" s="2896" t="s">
        <v>226</v>
      </c>
      <c r="D64" s="1947">
        <f t="shared" ref="D64:J64" si="23">D63/D21</f>
        <v>0.41210636888147079</v>
      </c>
      <c r="E64" s="1948">
        <f t="shared" si="23"/>
        <v>0.40208411444529202</v>
      </c>
      <c r="F64" s="1948">
        <f t="shared" si="23"/>
        <v>0.30602626146864054</v>
      </c>
      <c r="G64" s="1948">
        <f t="shared" si="23"/>
        <v>0.34357574643229255</v>
      </c>
      <c r="H64" s="1948">
        <f t="shared" si="23"/>
        <v>0.34357574643229255</v>
      </c>
      <c r="I64" s="1948">
        <f t="shared" si="23"/>
        <v>0.35399423701796334</v>
      </c>
      <c r="J64" s="1949">
        <f t="shared" si="23"/>
        <v>0.36989109545163357</v>
      </c>
      <c r="K64" s="423"/>
    </row>
    <row r="65" spans="1:13" ht="15" customHeight="1">
      <c r="A65" s="754" t="s">
        <v>333</v>
      </c>
      <c r="B65" s="2905" t="s">
        <v>233</v>
      </c>
      <c r="C65" s="2897" t="s">
        <v>1052</v>
      </c>
      <c r="D65" s="1964">
        <f>D66</f>
        <v>2506991</v>
      </c>
      <c r="E65" s="1965">
        <f t="shared" ref="E65:J65" si="24">E66</f>
        <v>2400000</v>
      </c>
      <c r="F65" s="1965">
        <f t="shared" si="24"/>
        <v>2342265</v>
      </c>
      <c r="G65" s="1965">
        <f t="shared" si="24"/>
        <v>2550000</v>
      </c>
      <c r="H65" s="1965">
        <f t="shared" si="24"/>
        <v>2550000</v>
      </c>
      <c r="I65" s="1965">
        <f t="shared" si="24"/>
        <v>2550000</v>
      </c>
      <c r="J65" s="1966">
        <f t="shared" si="24"/>
        <v>2550000</v>
      </c>
    </row>
    <row r="66" spans="1:13" ht="15" customHeight="1">
      <c r="A66" s="755" t="s">
        <v>514</v>
      </c>
      <c r="B66" s="2906" t="s">
        <v>244</v>
      </c>
      <c r="C66" s="2894" t="s">
        <v>1052</v>
      </c>
      <c r="D66" s="1952">
        <v>2506991</v>
      </c>
      <c r="E66" s="1952">
        <v>2400000</v>
      </c>
      <c r="F66" s="1952">
        <v>2342265</v>
      </c>
      <c r="G66" s="1952">
        <v>2550000</v>
      </c>
      <c r="H66" s="1952">
        <v>2550000</v>
      </c>
      <c r="I66" s="1952">
        <v>2550000</v>
      </c>
      <c r="J66" s="1952">
        <v>2550000</v>
      </c>
    </row>
    <row r="67" spans="1:13" ht="15" customHeight="1">
      <c r="A67" s="751" t="s">
        <v>335</v>
      </c>
      <c r="B67" s="2907" t="s">
        <v>236</v>
      </c>
      <c r="C67" s="2894" t="s">
        <v>1052</v>
      </c>
      <c r="D67" s="1970">
        <f>D69+D70+D71</f>
        <v>734151</v>
      </c>
      <c r="E67" s="1971">
        <f t="shared" ref="E67:J67" si="25">E69+E70+E71</f>
        <v>710000</v>
      </c>
      <c r="F67" s="1971">
        <f t="shared" si="25"/>
        <v>229214</v>
      </c>
      <c r="G67" s="1971">
        <f t="shared" si="25"/>
        <v>337000</v>
      </c>
      <c r="H67" s="1971">
        <f t="shared" si="25"/>
        <v>337000</v>
      </c>
      <c r="I67" s="1971">
        <f t="shared" si="25"/>
        <v>337000</v>
      </c>
      <c r="J67" s="1972">
        <f t="shared" si="25"/>
        <v>337000</v>
      </c>
    </row>
    <row r="68" spans="1:13" ht="15" customHeight="1">
      <c r="A68" s="2911"/>
      <c r="B68" s="2906" t="s">
        <v>245</v>
      </c>
      <c r="C68" s="2894" t="s">
        <v>1052</v>
      </c>
      <c r="D68" s="2002"/>
      <c r="E68" s="2003"/>
      <c r="F68" s="2003"/>
      <c r="G68" s="2003"/>
      <c r="H68" s="2003"/>
      <c r="I68" s="2003"/>
      <c r="J68" s="2004"/>
    </row>
    <row r="69" spans="1:13" ht="15" customHeight="1">
      <c r="A69" s="751" t="s">
        <v>515</v>
      </c>
      <c r="B69" s="2908" t="s">
        <v>1381</v>
      </c>
      <c r="C69" s="2894" t="s">
        <v>1052</v>
      </c>
      <c r="D69" s="1952">
        <v>626715</v>
      </c>
      <c r="E69" s="1954">
        <v>600000</v>
      </c>
      <c r="F69" s="1954">
        <v>108874</v>
      </c>
      <c r="G69" s="1954">
        <v>220000</v>
      </c>
      <c r="H69" s="1954">
        <v>220000</v>
      </c>
      <c r="I69" s="1954">
        <v>220000</v>
      </c>
      <c r="J69" s="1954">
        <v>220000</v>
      </c>
    </row>
    <row r="70" spans="1:13" ht="15" customHeight="1">
      <c r="A70" s="751" t="s">
        <v>972</v>
      </c>
      <c r="B70" s="2908" t="s">
        <v>1382</v>
      </c>
      <c r="C70" s="2894" t="s">
        <v>1052</v>
      </c>
      <c r="D70" s="1952">
        <v>55492</v>
      </c>
      <c r="E70" s="1954">
        <v>50000</v>
      </c>
      <c r="F70" s="1952">
        <v>69710</v>
      </c>
      <c r="G70" s="1954">
        <v>54000</v>
      </c>
      <c r="H70" s="1954">
        <v>54000</v>
      </c>
      <c r="I70" s="1954">
        <v>54000</v>
      </c>
      <c r="J70" s="1954">
        <v>54000</v>
      </c>
    </row>
    <row r="71" spans="1:13" ht="15" customHeight="1" thickBot="1">
      <c r="A71" s="756" t="s">
        <v>973</v>
      </c>
      <c r="B71" s="2909" t="s">
        <v>1383</v>
      </c>
      <c r="C71" s="2900" t="s">
        <v>1052</v>
      </c>
      <c r="D71" s="1956">
        <v>51944</v>
      </c>
      <c r="E71" s="1957">
        <v>60000</v>
      </c>
      <c r="F71" s="1956">
        <v>50630</v>
      </c>
      <c r="G71" s="1957">
        <v>63000</v>
      </c>
      <c r="H71" s="1957">
        <v>63000</v>
      </c>
      <c r="I71" s="1957">
        <v>63000</v>
      </c>
      <c r="J71" s="1957">
        <v>63000</v>
      </c>
    </row>
    <row r="72" spans="1:13" ht="15" customHeight="1">
      <c r="A72" s="414"/>
      <c r="K72" s="426"/>
      <c r="L72" s="426"/>
    </row>
    <row r="73" spans="1:13" ht="29.25" customHeight="1">
      <c r="A73" s="414"/>
      <c r="B73" s="427" t="str">
        <f>'2. Променливи'!C117</f>
        <v>Дата: 27.06.2016г.</v>
      </c>
      <c r="K73" s="428"/>
      <c r="L73" s="428"/>
    </row>
    <row r="74" spans="1:13" ht="14.25" customHeight="1">
      <c r="A74" s="414"/>
      <c r="B74" s="429"/>
      <c r="C74" s="429"/>
      <c r="D74" s="429"/>
      <c r="E74" s="430" t="str">
        <f>'2. Променливи'!E115</f>
        <v>Главен счетоводител:</v>
      </c>
      <c r="F74" s="429" t="s">
        <v>4</v>
      </c>
      <c r="I74" s="431"/>
      <c r="J74" s="432"/>
      <c r="K74" s="433"/>
      <c r="L74" s="433"/>
      <c r="M74" s="432"/>
    </row>
    <row r="75" spans="1:13">
      <c r="A75" s="414"/>
      <c r="E75" s="434"/>
      <c r="F75" s="435"/>
      <c r="G75" s="436" t="s">
        <v>246</v>
      </c>
      <c r="J75" s="432"/>
      <c r="K75" s="433"/>
      <c r="L75" s="433"/>
      <c r="M75" s="432"/>
    </row>
    <row r="76" spans="1:13">
      <c r="A76" s="414"/>
      <c r="E76" s="434"/>
      <c r="F76" s="435"/>
      <c r="G76" s="436"/>
      <c r="J76" s="432"/>
      <c r="K76" s="433"/>
      <c r="L76" s="433"/>
      <c r="M76" s="432"/>
    </row>
    <row r="77" spans="1:13">
      <c r="A77" s="414"/>
      <c r="E77" s="434"/>
      <c r="F77" s="435"/>
      <c r="G77" s="436"/>
      <c r="J77" s="432"/>
      <c r="K77" s="433"/>
      <c r="L77" s="433"/>
      <c r="M77" s="432"/>
    </row>
    <row r="78" spans="1:13">
      <c r="A78" s="414"/>
      <c r="E78" s="430" t="str">
        <f>'2. Променливи'!F118</f>
        <v>Управител:</v>
      </c>
      <c r="F78" s="429" t="s">
        <v>4</v>
      </c>
      <c r="J78" s="437"/>
      <c r="K78" s="433"/>
      <c r="L78" s="433"/>
      <c r="M78" s="437"/>
    </row>
    <row r="79" spans="1:13">
      <c r="A79" s="414"/>
      <c r="E79" s="434"/>
      <c r="F79" s="435"/>
      <c r="G79" s="436" t="s">
        <v>6</v>
      </c>
    </row>
    <row r="80" spans="1:13">
      <c r="A80" s="414"/>
      <c r="E80" s="434"/>
    </row>
    <row r="81" spans="1:10">
      <c r="A81" s="3334" t="s">
        <v>247</v>
      </c>
      <c r="B81" s="3334"/>
      <c r="C81" s="3334"/>
      <c r="D81" s="3334"/>
      <c r="E81" s="438"/>
      <c r="F81" s="438"/>
      <c r="G81" s="438"/>
    </row>
    <row r="82" spans="1:10" s="440" customFormat="1">
      <c r="A82" s="3362" t="s">
        <v>248</v>
      </c>
      <c r="B82" s="3362"/>
      <c r="C82" s="3362"/>
      <c r="D82" s="3362"/>
      <c r="E82" s="438"/>
      <c r="F82" s="438"/>
      <c r="G82" s="438"/>
      <c r="H82" s="439"/>
      <c r="I82" s="439"/>
    </row>
    <row r="83" spans="1:10" s="440" customFormat="1" ht="24" customHeight="1">
      <c r="A83" s="3348" t="s">
        <v>992</v>
      </c>
      <c r="B83" s="3348"/>
      <c r="C83" s="3348"/>
      <c r="D83" s="3348"/>
      <c r="E83" s="3348"/>
      <c r="F83" s="3348"/>
      <c r="G83" s="3348"/>
      <c r="H83" s="3348"/>
      <c r="I83" s="3348"/>
      <c r="J83" s="3348"/>
    </row>
    <row r="84" spans="1:10" ht="60" customHeight="1">
      <c r="A84" s="3347" t="s">
        <v>1549</v>
      </c>
      <c r="B84" s="3347"/>
      <c r="C84" s="3347"/>
      <c r="D84" s="3347"/>
      <c r="E84" s="3347"/>
      <c r="F84" s="3347"/>
      <c r="G84" s="3347"/>
      <c r="H84" s="3347"/>
      <c r="I84" s="3347"/>
      <c r="J84" s="3347"/>
    </row>
  </sheetData>
  <sheetProtection password="C6DB" sheet="1" objects="1" scenarios="1" formatCells="0" formatColumns="0" formatRows="0"/>
  <mergeCells count="25">
    <mergeCell ref="A84:J84"/>
    <mergeCell ref="A83:J83"/>
    <mergeCell ref="A2:J3"/>
    <mergeCell ref="A5:J5"/>
    <mergeCell ref="A6:J6"/>
    <mergeCell ref="A19:A20"/>
    <mergeCell ref="B19:B20"/>
    <mergeCell ref="A21:A22"/>
    <mergeCell ref="B21:B22"/>
    <mergeCell ref="A31:A32"/>
    <mergeCell ref="B31:B32"/>
    <mergeCell ref="A35:A37"/>
    <mergeCell ref="B35:B37"/>
    <mergeCell ref="A82:D82"/>
    <mergeCell ref="A38:A39"/>
    <mergeCell ref="B38:B39"/>
    <mergeCell ref="A42:A43"/>
    <mergeCell ref="A81:D81"/>
    <mergeCell ref="A48:A51"/>
    <mergeCell ref="B48:B51"/>
    <mergeCell ref="B42:B43"/>
    <mergeCell ref="A53:A54"/>
    <mergeCell ref="B53:B54"/>
    <mergeCell ref="A63:A64"/>
    <mergeCell ref="B63:B64"/>
  </mergeCells>
  <printOptions horizontalCentered="1"/>
  <pageMargins left="0.70866141732283472" right="0.70866141732283472" top="0.74803149606299213" bottom="0.74803149606299213" header="0.31496062992125984" footer="0.31496062992125984"/>
  <pageSetup paperSize="9" scale="54" orientation="portrait" r:id="rId1"/>
  <ignoredErrors>
    <ignoredError sqref="D19:J19 D48:J48" unlockedFormula="1"/>
    <ignoredError sqref="A19:A43 A10:A15" numberStoredAsText="1"/>
    <ignoredError sqref="D20:J22 D49:I49" evalError="1" unlockedFormula="1"/>
    <ignoredError sqref="D23:J23 D27:J27 D31:J32 D35:J36 D42:J43 D38:J39" evalErro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C50"/>
  <sheetViews>
    <sheetView view="pageBreakPreview" zoomScaleNormal="70" zoomScaleSheetLayoutView="100" workbookViewId="0">
      <pane xSplit="2" ySplit="9" topLeftCell="C10" activePane="bottomRight" state="frozen"/>
      <selection pane="topRight" activeCell="C1" sqref="C1"/>
      <selection pane="bottomLeft" activeCell="A10" sqref="A10"/>
      <selection pane="bottomRight" activeCell="D12" sqref="D12"/>
    </sheetView>
  </sheetViews>
  <sheetFormatPr defaultRowHeight="12.75"/>
  <cols>
    <col min="1" max="1" width="4.42578125" style="1542" customWidth="1"/>
    <col min="2" max="2" width="58.7109375" style="1541" customWidth="1"/>
    <col min="3" max="9" width="8.28515625" style="1542" customWidth="1"/>
    <col min="10" max="44" width="8.28515625" style="1541" customWidth="1"/>
    <col min="45" max="51" width="8.28515625" style="1586" customWidth="1"/>
    <col min="52" max="16384" width="9.140625" style="1541"/>
  </cols>
  <sheetData>
    <row r="1" spans="1:55" ht="15">
      <c r="A1" s="2205"/>
      <c r="B1" s="2205"/>
      <c r="C1" s="2205"/>
      <c r="D1" s="2205"/>
      <c r="E1" s="2205"/>
      <c r="F1" s="2205"/>
      <c r="G1" s="2205"/>
      <c r="H1" s="2205"/>
      <c r="I1" s="2205"/>
      <c r="J1" s="2205"/>
      <c r="K1" s="2205"/>
      <c r="L1" s="2205"/>
      <c r="M1" s="2205"/>
      <c r="N1" s="2205"/>
      <c r="O1" s="2205"/>
      <c r="P1" s="2205"/>
      <c r="Q1" s="2205"/>
      <c r="R1" s="2205"/>
      <c r="S1" s="2205"/>
      <c r="T1" s="2205"/>
      <c r="U1" s="2205"/>
      <c r="V1" s="2205"/>
      <c r="W1" s="2205"/>
      <c r="X1" s="2205"/>
      <c r="Y1" s="2205"/>
      <c r="Z1" s="2205"/>
      <c r="AA1" s="2205"/>
      <c r="AB1" s="2205"/>
      <c r="AC1" s="2205" t="s">
        <v>0</v>
      </c>
      <c r="AD1" s="2205"/>
      <c r="AE1" s="1567"/>
      <c r="AF1" s="1567"/>
      <c r="AG1" s="1567"/>
      <c r="AH1" s="1567"/>
      <c r="AI1" s="1567"/>
      <c r="AJ1" s="1567"/>
      <c r="AK1" s="1567"/>
      <c r="AL1" s="1567"/>
      <c r="AM1" s="1567"/>
      <c r="AN1" s="1567"/>
      <c r="AO1" s="1567"/>
      <c r="AP1" s="1567"/>
      <c r="AQ1" s="1567"/>
      <c r="AR1" s="1567"/>
      <c r="AS1" s="1568"/>
      <c r="AT1" s="1568"/>
      <c r="AU1" s="1568"/>
      <c r="AV1" s="1568"/>
      <c r="AW1" s="1568"/>
      <c r="AX1" s="1568"/>
      <c r="AY1" s="507"/>
      <c r="AZ1" s="1567"/>
      <c r="BA1" s="1567"/>
      <c r="BB1" s="1567"/>
      <c r="BC1" s="1567"/>
    </row>
    <row r="2" spans="1:55" ht="18.75" customHeight="1">
      <c r="A2" s="3365" t="s">
        <v>744</v>
      </c>
      <c r="B2" s="3365"/>
      <c r="C2" s="3365"/>
      <c r="D2" s="3365"/>
      <c r="E2" s="3365"/>
      <c r="F2" s="3365"/>
      <c r="G2" s="3365"/>
      <c r="H2" s="3365"/>
      <c r="I2" s="3365"/>
      <c r="J2" s="3365"/>
      <c r="K2" s="3365"/>
      <c r="L2" s="3365"/>
      <c r="M2" s="3365"/>
      <c r="N2" s="3365"/>
      <c r="O2" s="3365"/>
      <c r="P2" s="3365"/>
      <c r="Q2" s="3365"/>
      <c r="R2" s="3365"/>
      <c r="S2" s="3365"/>
      <c r="T2" s="3365"/>
      <c r="U2" s="3365"/>
      <c r="V2" s="3365"/>
      <c r="W2" s="3365"/>
      <c r="X2" s="3365"/>
      <c r="Y2" s="3365"/>
      <c r="Z2" s="3365"/>
      <c r="AA2" s="3365"/>
      <c r="AB2" s="3365"/>
      <c r="AC2" s="3365"/>
      <c r="AD2" s="3365"/>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567"/>
      <c r="BA2" s="1567"/>
      <c r="BB2" s="1567"/>
      <c r="BC2" s="1567"/>
    </row>
    <row r="3" spans="1:55" ht="18.75" customHeight="1">
      <c r="A3" s="3365" t="s">
        <v>1152</v>
      </c>
      <c r="B3" s="3365"/>
      <c r="C3" s="3365"/>
      <c r="D3" s="3365"/>
      <c r="E3" s="3365"/>
      <c r="F3" s="3365"/>
      <c r="G3" s="3365"/>
      <c r="H3" s="3365"/>
      <c r="I3" s="3365"/>
      <c r="J3" s="3365"/>
      <c r="K3" s="3365"/>
      <c r="L3" s="3365"/>
      <c r="M3" s="3365"/>
      <c r="N3" s="3365"/>
      <c r="O3" s="3365"/>
      <c r="P3" s="3365"/>
      <c r="Q3" s="3365"/>
      <c r="R3" s="3365"/>
      <c r="S3" s="3365"/>
      <c r="T3" s="3365"/>
      <c r="U3" s="3365"/>
      <c r="V3" s="3365"/>
      <c r="W3" s="3365"/>
      <c r="X3" s="3365"/>
      <c r="Y3" s="3365"/>
      <c r="Z3" s="3365"/>
      <c r="AA3" s="3365"/>
      <c r="AB3" s="3365"/>
      <c r="AC3" s="3365"/>
      <c r="AD3" s="3365"/>
      <c r="AE3" s="1903"/>
      <c r="AF3" s="1903"/>
      <c r="AG3" s="1903"/>
      <c r="AH3" s="1903"/>
      <c r="AI3" s="1903"/>
      <c r="AJ3" s="1903"/>
      <c r="AK3" s="1903"/>
      <c r="AL3" s="1903"/>
      <c r="AM3" s="1903"/>
      <c r="AN3" s="1903"/>
      <c r="AO3" s="1903"/>
      <c r="AP3" s="1903"/>
      <c r="AQ3" s="1903"/>
      <c r="AR3" s="1903"/>
      <c r="AS3" s="1903"/>
      <c r="AT3" s="1903"/>
      <c r="AU3" s="1903"/>
      <c r="AV3" s="1903"/>
      <c r="AW3" s="1903"/>
      <c r="AX3" s="1903"/>
      <c r="AY3" s="1903"/>
      <c r="AZ3" s="1569"/>
      <c r="BA3" s="1569"/>
      <c r="BB3" s="1569"/>
      <c r="BC3" s="1569"/>
    </row>
    <row r="4" spans="1:55" ht="15.75" customHeight="1">
      <c r="A4" s="3366" t="str">
        <f>'1. Анкетна карта'!A3</f>
        <v>на "Водоснабдяване и канализация" ООД , гр. Враца</v>
      </c>
      <c r="B4" s="3366"/>
      <c r="C4" s="3366"/>
      <c r="D4" s="3366"/>
      <c r="E4" s="3366"/>
      <c r="F4" s="3366"/>
      <c r="G4" s="3366"/>
      <c r="H4" s="3366"/>
      <c r="I4" s="3366"/>
      <c r="J4" s="3366"/>
      <c r="K4" s="3366"/>
      <c r="L4" s="3366"/>
      <c r="M4" s="3366"/>
      <c r="N4" s="3366"/>
      <c r="O4" s="3366"/>
      <c r="P4" s="3366"/>
      <c r="Q4" s="3366"/>
      <c r="R4" s="3366"/>
      <c r="S4" s="3366"/>
      <c r="T4" s="3366"/>
      <c r="U4" s="3366"/>
      <c r="V4" s="3366"/>
      <c r="W4" s="3366"/>
      <c r="X4" s="3366"/>
      <c r="Y4" s="3366"/>
      <c r="Z4" s="3366"/>
      <c r="AA4" s="3366"/>
      <c r="AB4" s="3366"/>
      <c r="AC4" s="3366"/>
      <c r="AD4" s="3366"/>
      <c r="AE4" s="1904"/>
      <c r="AF4" s="1904"/>
      <c r="AG4" s="1904"/>
      <c r="AH4" s="1904"/>
      <c r="AI4" s="1904"/>
      <c r="AJ4" s="1904"/>
      <c r="AK4" s="1904"/>
      <c r="AL4" s="1904"/>
      <c r="AM4" s="1904"/>
      <c r="AN4" s="1904"/>
      <c r="AO4" s="1904"/>
      <c r="AP4" s="1904"/>
      <c r="AQ4" s="1904"/>
      <c r="AR4" s="1904"/>
      <c r="AS4" s="1904"/>
      <c r="AT4" s="1904"/>
      <c r="AU4" s="1904"/>
      <c r="AV4" s="1904"/>
      <c r="AW4" s="1904"/>
      <c r="AX4" s="1904"/>
      <c r="AY4" s="1904"/>
      <c r="AZ4" s="1567"/>
      <c r="BA4" s="1567"/>
      <c r="BB4" s="1567"/>
      <c r="BC4" s="1567"/>
    </row>
    <row r="5" spans="1:55" ht="15.75" customHeight="1">
      <c r="A5" s="3366" t="str">
        <f>'1. Анкетна карта'!A4</f>
        <v>ЕИК по БУЛСТАТ: 816090199</v>
      </c>
      <c r="B5" s="3366"/>
      <c r="C5" s="3366"/>
      <c r="D5" s="3366"/>
      <c r="E5" s="3366"/>
      <c r="F5" s="3366"/>
      <c r="G5" s="3366"/>
      <c r="H5" s="3366"/>
      <c r="I5" s="3366"/>
      <c r="J5" s="3366"/>
      <c r="K5" s="3366"/>
      <c r="L5" s="3366"/>
      <c r="M5" s="3366"/>
      <c r="N5" s="3366"/>
      <c r="O5" s="3366"/>
      <c r="P5" s="3366"/>
      <c r="Q5" s="3366"/>
      <c r="R5" s="3366"/>
      <c r="S5" s="3366"/>
      <c r="T5" s="3366"/>
      <c r="U5" s="3366"/>
      <c r="V5" s="3366"/>
      <c r="W5" s="3366"/>
      <c r="X5" s="3366"/>
      <c r="Y5" s="3366"/>
      <c r="Z5" s="3366"/>
      <c r="AA5" s="3366"/>
      <c r="AB5" s="3366"/>
      <c r="AC5" s="3366"/>
      <c r="AD5" s="3366"/>
      <c r="AE5" s="1904"/>
      <c r="AF5" s="1904"/>
      <c r="AG5" s="1904"/>
      <c r="AH5" s="1904"/>
      <c r="AI5" s="1904"/>
      <c r="AJ5" s="1904"/>
      <c r="AK5" s="1904"/>
      <c r="AL5" s="1904"/>
      <c r="AM5" s="1904"/>
      <c r="AN5" s="1904"/>
      <c r="AO5" s="1904"/>
      <c r="AP5" s="1904"/>
      <c r="AQ5" s="1904"/>
      <c r="AR5" s="1904"/>
      <c r="AS5" s="1904"/>
      <c r="AT5" s="1904"/>
      <c r="AU5" s="1904"/>
      <c r="AV5" s="1904"/>
      <c r="AW5" s="1904"/>
      <c r="AX5" s="1904"/>
      <c r="AY5" s="1904"/>
      <c r="AZ5" s="1567"/>
      <c r="BA5" s="1567"/>
      <c r="BB5" s="1567"/>
      <c r="BC5" s="1567"/>
    </row>
    <row r="6" spans="1:55" ht="15.75" thickBot="1">
      <c r="A6" s="3367"/>
      <c r="B6" s="3367"/>
      <c r="C6" s="3367"/>
      <c r="D6" s="3367"/>
      <c r="E6" s="3367"/>
      <c r="F6" s="3367"/>
      <c r="G6" s="3367"/>
      <c r="H6" s="3367"/>
      <c r="I6" s="3367"/>
      <c r="J6" s="3367"/>
      <c r="K6" s="3367"/>
      <c r="L6" s="3367"/>
      <c r="M6" s="3367"/>
      <c r="N6" s="3367"/>
      <c r="O6" s="3367"/>
      <c r="P6" s="3367"/>
      <c r="Q6" s="3367"/>
      <c r="R6" s="3367"/>
      <c r="S6" s="3367"/>
      <c r="T6" s="3367"/>
      <c r="U6" s="3367"/>
      <c r="V6" s="3367"/>
      <c r="W6" s="3367"/>
      <c r="X6" s="3367"/>
      <c r="Y6" s="3367"/>
      <c r="Z6" s="3367"/>
      <c r="AA6" s="3367"/>
      <c r="AB6" s="3367"/>
      <c r="AC6" s="3367"/>
      <c r="AD6" s="3367"/>
      <c r="AE6" s="1567"/>
      <c r="AF6" s="1567"/>
      <c r="AG6" s="1567"/>
      <c r="AH6" s="1567"/>
      <c r="AI6" s="1567"/>
      <c r="AJ6" s="1567"/>
      <c r="AK6" s="1567"/>
      <c r="AL6" s="1567"/>
      <c r="AM6" s="1567"/>
      <c r="AN6" s="1567"/>
      <c r="AO6" s="1567"/>
      <c r="AP6" s="1567"/>
      <c r="AQ6" s="1567"/>
      <c r="AR6" s="1567"/>
      <c r="AS6" s="1568"/>
      <c r="AT6" s="1568"/>
      <c r="AU6" s="1568"/>
      <c r="AV6" s="1568"/>
      <c r="AW6" s="1568"/>
      <c r="AX6" s="1905"/>
      <c r="AY6" s="1905"/>
      <c r="AZ6" s="1567"/>
      <c r="BA6" s="1567"/>
      <c r="BB6" s="1567"/>
      <c r="BC6" s="1567"/>
    </row>
    <row r="7" spans="1:55" ht="23.25" customHeight="1" thickBot="1">
      <c r="A7" s="3375" t="s">
        <v>1</v>
      </c>
      <c r="B7" s="3377" t="s">
        <v>265</v>
      </c>
      <c r="C7" s="3387" t="s">
        <v>287</v>
      </c>
      <c r="D7" s="3388"/>
      <c r="E7" s="3388"/>
      <c r="F7" s="3388"/>
      <c r="G7" s="3388"/>
      <c r="H7" s="3388"/>
      <c r="I7" s="3388"/>
      <c r="J7" s="3388"/>
      <c r="K7" s="3388"/>
      <c r="L7" s="3388"/>
      <c r="M7" s="3388"/>
      <c r="N7" s="3388"/>
      <c r="O7" s="3388"/>
      <c r="P7" s="3388"/>
      <c r="Q7" s="3388"/>
      <c r="R7" s="3388"/>
      <c r="S7" s="3388"/>
      <c r="T7" s="3388"/>
      <c r="U7" s="3388"/>
      <c r="V7" s="3388"/>
      <c r="W7" s="3389"/>
      <c r="X7" s="3375" t="s">
        <v>288</v>
      </c>
      <c r="Y7" s="3376"/>
      <c r="Z7" s="3376"/>
      <c r="AA7" s="3376"/>
      <c r="AB7" s="3376"/>
      <c r="AC7" s="3376"/>
      <c r="AD7" s="3377"/>
      <c r="AE7" s="3375" t="s">
        <v>1462</v>
      </c>
      <c r="AF7" s="3376"/>
      <c r="AG7" s="3376"/>
      <c r="AH7" s="3376"/>
      <c r="AI7" s="3376"/>
      <c r="AJ7" s="3376"/>
      <c r="AK7" s="3377"/>
      <c r="AL7" s="3375" t="s">
        <v>1463</v>
      </c>
      <c r="AM7" s="3376"/>
      <c r="AN7" s="3376"/>
      <c r="AO7" s="3376"/>
      <c r="AP7" s="3376"/>
      <c r="AQ7" s="3376"/>
      <c r="AR7" s="3377"/>
      <c r="AS7" s="3369" t="s">
        <v>1461</v>
      </c>
      <c r="AT7" s="3370"/>
      <c r="AU7" s="3370"/>
      <c r="AV7" s="3370"/>
      <c r="AW7" s="3370"/>
      <c r="AX7" s="3370"/>
      <c r="AY7" s="3371"/>
      <c r="AZ7" s="1569"/>
      <c r="BA7" s="1569"/>
      <c r="BB7" s="1569"/>
      <c r="BC7" s="1569"/>
    </row>
    <row r="8" spans="1:55" ht="23.25" customHeight="1">
      <c r="A8" s="3383"/>
      <c r="B8" s="3385"/>
      <c r="C8" s="3390" t="s">
        <v>270</v>
      </c>
      <c r="D8" s="3391"/>
      <c r="E8" s="3391"/>
      <c r="F8" s="3391"/>
      <c r="G8" s="3391"/>
      <c r="H8" s="3391"/>
      <c r="I8" s="3392"/>
      <c r="J8" s="3390" t="s">
        <v>271</v>
      </c>
      <c r="K8" s="3391"/>
      <c r="L8" s="3391"/>
      <c r="M8" s="3391"/>
      <c r="N8" s="3391"/>
      <c r="O8" s="3391"/>
      <c r="P8" s="3392"/>
      <c r="Q8" s="3390" t="s">
        <v>272</v>
      </c>
      <c r="R8" s="3391"/>
      <c r="S8" s="3391"/>
      <c r="T8" s="3391"/>
      <c r="U8" s="3391"/>
      <c r="V8" s="3391"/>
      <c r="W8" s="3392"/>
      <c r="X8" s="3378"/>
      <c r="Y8" s="3379"/>
      <c r="Z8" s="3379"/>
      <c r="AA8" s="3379"/>
      <c r="AB8" s="3379"/>
      <c r="AC8" s="3379"/>
      <c r="AD8" s="3380"/>
      <c r="AE8" s="3378"/>
      <c r="AF8" s="3379"/>
      <c r="AG8" s="3379"/>
      <c r="AH8" s="3379"/>
      <c r="AI8" s="3379"/>
      <c r="AJ8" s="3379"/>
      <c r="AK8" s="3380"/>
      <c r="AL8" s="3378"/>
      <c r="AM8" s="3379"/>
      <c r="AN8" s="3379"/>
      <c r="AO8" s="3379"/>
      <c r="AP8" s="3379"/>
      <c r="AQ8" s="3379"/>
      <c r="AR8" s="3380"/>
      <c r="AS8" s="3372"/>
      <c r="AT8" s="3373"/>
      <c r="AU8" s="3373"/>
      <c r="AV8" s="3373"/>
      <c r="AW8" s="3373"/>
      <c r="AX8" s="3373"/>
      <c r="AY8" s="3374"/>
      <c r="AZ8" s="1569"/>
      <c r="BA8" s="1569"/>
      <c r="BB8" s="1569"/>
      <c r="BC8" s="1569"/>
    </row>
    <row r="9" spans="1:55" ht="23.25" customHeight="1" thickBot="1">
      <c r="A9" s="3384"/>
      <c r="B9" s="3386"/>
      <c r="C9" s="1570" t="str">
        <f>'Приложение '!G12</f>
        <v>2015 г.</v>
      </c>
      <c r="D9" s="1571" t="str">
        <f>'Приложение '!G13</f>
        <v>2016 г.</v>
      </c>
      <c r="E9" s="1571" t="str">
        <f>'Приложение '!G14</f>
        <v>2017 г.</v>
      </c>
      <c r="F9" s="1571" t="str">
        <f>'Приложение '!G15</f>
        <v>2018 г.</v>
      </c>
      <c r="G9" s="1571" t="str">
        <f>'Приложение '!G16</f>
        <v>2019 г.</v>
      </c>
      <c r="H9" s="1571" t="str">
        <f>'Приложение '!G17</f>
        <v>2020 г.</v>
      </c>
      <c r="I9" s="1572" t="str">
        <f>'Приложение '!G18</f>
        <v>2021 г.</v>
      </c>
      <c r="J9" s="1573" t="str">
        <f t="shared" ref="J9:AD9" si="0">C9</f>
        <v>2015 г.</v>
      </c>
      <c r="K9" s="1574" t="str">
        <f t="shared" si="0"/>
        <v>2016 г.</v>
      </c>
      <c r="L9" s="1574" t="str">
        <f t="shared" si="0"/>
        <v>2017 г.</v>
      </c>
      <c r="M9" s="1574" t="str">
        <f t="shared" si="0"/>
        <v>2018 г.</v>
      </c>
      <c r="N9" s="1574" t="str">
        <f t="shared" si="0"/>
        <v>2019 г.</v>
      </c>
      <c r="O9" s="1574" t="str">
        <f t="shared" si="0"/>
        <v>2020 г.</v>
      </c>
      <c r="P9" s="1575" t="str">
        <f t="shared" si="0"/>
        <v>2021 г.</v>
      </c>
      <c r="Q9" s="1573" t="str">
        <f t="shared" si="0"/>
        <v>2015 г.</v>
      </c>
      <c r="R9" s="1574" t="str">
        <f t="shared" si="0"/>
        <v>2016 г.</v>
      </c>
      <c r="S9" s="1574" t="str">
        <f t="shared" si="0"/>
        <v>2017 г.</v>
      </c>
      <c r="T9" s="1574" t="str">
        <f t="shared" si="0"/>
        <v>2018 г.</v>
      </c>
      <c r="U9" s="1574" t="str">
        <f t="shared" si="0"/>
        <v>2019 г.</v>
      </c>
      <c r="V9" s="1574" t="str">
        <f t="shared" si="0"/>
        <v>2020 г.</v>
      </c>
      <c r="W9" s="1575" t="str">
        <f t="shared" si="0"/>
        <v>2021 г.</v>
      </c>
      <c r="X9" s="1573" t="str">
        <f t="shared" si="0"/>
        <v>2015 г.</v>
      </c>
      <c r="Y9" s="1574" t="str">
        <f t="shared" si="0"/>
        <v>2016 г.</v>
      </c>
      <c r="Z9" s="1574" t="str">
        <f t="shared" si="0"/>
        <v>2017 г.</v>
      </c>
      <c r="AA9" s="1574" t="str">
        <f t="shared" si="0"/>
        <v>2018 г.</v>
      </c>
      <c r="AB9" s="1574" t="str">
        <f t="shared" si="0"/>
        <v>2019 г.</v>
      </c>
      <c r="AC9" s="1574" t="str">
        <f t="shared" si="0"/>
        <v>2020 г.</v>
      </c>
      <c r="AD9" s="1575" t="str">
        <f t="shared" si="0"/>
        <v>2021 г.</v>
      </c>
      <c r="AE9" s="1573" t="str">
        <f t="shared" ref="AE9" si="1">X9</f>
        <v>2015 г.</v>
      </c>
      <c r="AF9" s="1574" t="str">
        <f t="shared" ref="AF9" si="2">Y9</f>
        <v>2016 г.</v>
      </c>
      <c r="AG9" s="1574" t="str">
        <f t="shared" ref="AG9" si="3">Z9</f>
        <v>2017 г.</v>
      </c>
      <c r="AH9" s="1574" t="str">
        <f t="shared" ref="AH9" si="4">AA9</f>
        <v>2018 г.</v>
      </c>
      <c r="AI9" s="1574" t="str">
        <f t="shared" ref="AI9" si="5">AB9</f>
        <v>2019 г.</v>
      </c>
      <c r="AJ9" s="1574" t="str">
        <f t="shared" ref="AJ9" si="6">AC9</f>
        <v>2020 г.</v>
      </c>
      <c r="AK9" s="1575" t="str">
        <f t="shared" ref="AK9" si="7">AD9</f>
        <v>2021 г.</v>
      </c>
      <c r="AL9" s="1573" t="str">
        <f t="shared" ref="AL9" si="8">AE9</f>
        <v>2015 г.</v>
      </c>
      <c r="AM9" s="1574" t="str">
        <f t="shared" ref="AM9" si="9">AF9</f>
        <v>2016 г.</v>
      </c>
      <c r="AN9" s="1574" t="str">
        <f t="shared" ref="AN9" si="10">AG9</f>
        <v>2017 г.</v>
      </c>
      <c r="AO9" s="1574" t="str">
        <f t="shared" ref="AO9" si="11">AH9</f>
        <v>2018 г.</v>
      </c>
      <c r="AP9" s="1574" t="str">
        <f t="shared" ref="AP9" si="12">AI9</f>
        <v>2019 г.</v>
      </c>
      <c r="AQ9" s="1574" t="str">
        <f t="shared" ref="AQ9" si="13">AJ9</f>
        <v>2020 г.</v>
      </c>
      <c r="AR9" s="1575" t="str">
        <f t="shared" ref="AR9" si="14">AK9</f>
        <v>2021 г.</v>
      </c>
      <c r="AS9" s="1573" t="str">
        <f t="shared" ref="AS9:AY9" si="15">X9</f>
        <v>2015 г.</v>
      </c>
      <c r="AT9" s="1574" t="str">
        <f t="shared" si="15"/>
        <v>2016 г.</v>
      </c>
      <c r="AU9" s="1574" t="str">
        <f t="shared" si="15"/>
        <v>2017 г.</v>
      </c>
      <c r="AV9" s="1574" t="str">
        <f t="shared" si="15"/>
        <v>2018 г.</v>
      </c>
      <c r="AW9" s="1574" t="str">
        <f t="shared" si="15"/>
        <v>2019 г.</v>
      </c>
      <c r="AX9" s="1574" t="str">
        <f t="shared" si="15"/>
        <v>2020 г.</v>
      </c>
      <c r="AY9" s="1575" t="str">
        <f t="shared" si="15"/>
        <v>2021 г.</v>
      </c>
      <c r="AZ9" s="1569"/>
      <c r="BA9" s="1569"/>
      <c r="BB9" s="1569"/>
      <c r="BC9" s="1569"/>
    </row>
    <row r="10" spans="1:55" s="1540" customFormat="1" ht="20.25" customHeight="1">
      <c r="A10" s="2667">
        <v>1</v>
      </c>
      <c r="B10" s="2668" t="s">
        <v>1217</v>
      </c>
      <c r="C10" s="1576"/>
      <c r="D10" s="1577"/>
      <c r="E10" s="1577"/>
      <c r="F10" s="1577"/>
      <c r="G10" s="1577"/>
      <c r="H10" s="1577"/>
      <c r="I10" s="1578"/>
      <c r="J10" s="1579"/>
      <c r="K10" s="1580"/>
      <c r="L10" s="1580"/>
      <c r="M10" s="1580"/>
      <c r="N10" s="1580"/>
      <c r="O10" s="1580"/>
      <c r="P10" s="1581"/>
      <c r="Q10" s="1579"/>
      <c r="R10" s="1580"/>
      <c r="S10" s="1580"/>
      <c r="T10" s="1580"/>
      <c r="U10" s="1580"/>
      <c r="V10" s="1580"/>
      <c r="W10" s="1581"/>
      <c r="X10" s="1579"/>
      <c r="Y10" s="1580"/>
      <c r="Z10" s="1580"/>
      <c r="AA10" s="1580"/>
      <c r="AB10" s="1580"/>
      <c r="AC10" s="1580"/>
      <c r="AD10" s="1581"/>
      <c r="AE10" s="1579"/>
      <c r="AF10" s="1580"/>
      <c r="AG10" s="1580"/>
      <c r="AH10" s="1580"/>
      <c r="AI10" s="1580"/>
      <c r="AJ10" s="1580"/>
      <c r="AK10" s="1581"/>
      <c r="AL10" s="1579"/>
      <c r="AM10" s="1580"/>
      <c r="AN10" s="1580"/>
      <c r="AO10" s="1580"/>
      <c r="AP10" s="1580"/>
      <c r="AQ10" s="1580"/>
      <c r="AR10" s="1581"/>
      <c r="AS10" s="1579"/>
      <c r="AT10" s="1580"/>
      <c r="AU10" s="1580"/>
      <c r="AV10" s="1580"/>
      <c r="AW10" s="1580"/>
      <c r="AX10" s="1580"/>
      <c r="AY10" s="1581"/>
      <c r="AZ10" s="1569"/>
      <c r="BA10" s="1569"/>
      <c r="BB10" s="1569"/>
      <c r="BC10" s="1569"/>
    </row>
    <row r="11" spans="1:55" s="1583" customFormat="1" ht="20.25" customHeight="1">
      <c r="A11" s="2669" t="s">
        <v>642</v>
      </c>
      <c r="B11" s="2670" t="s">
        <v>1214</v>
      </c>
      <c r="C11" s="2556">
        <v>428</v>
      </c>
      <c r="D11" s="2557">
        <v>428</v>
      </c>
      <c r="E11" s="2557">
        <v>435</v>
      </c>
      <c r="F11" s="2557">
        <v>450</v>
      </c>
      <c r="G11" s="2557">
        <v>450</v>
      </c>
      <c r="H11" s="2557">
        <v>450</v>
      </c>
      <c r="I11" s="2558">
        <v>465</v>
      </c>
      <c r="J11" s="2559">
        <v>28</v>
      </c>
      <c r="K11" s="2560">
        <v>28</v>
      </c>
      <c r="L11" s="2560">
        <v>30</v>
      </c>
      <c r="M11" s="2560">
        <v>30</v>
      </c>
      <c r="N11" s="2560">
        <v>32</v>
      </c>
      <c r="O11" s="2560">
        <v>33</v>
      </c>
      <c r="P11" s="2561">
        <v>35</v>
      </c>
      <c r="Q11" s="2559">
        <v>29</v>
      </c>
      <c r="R11" s="2560">
        <v>29</v>
      </c>
      <c r="S11" s="2560">
        <v>50</v>
      </c>
      <c r="T11" s="2560">
        <v>50</v>
      </c>
      <c r="U11" s="2560">
        <v>55</v>
      </c>
      <c r="V11" s="2560">
        <v>58</v>
      </c>
      <c r="W11" s="2561">
        <v>58</v>
      </c>
      <c r="X11" s="2559">
        <v>13</v>
      </c>
      <c r="Y11" s="2560">
        <v>13</v>
      </c>
      <c r="Z11" s="2560">
        <v>14</v>
      </c>
      <c r="AA11" s="2560">
        <v>14</v>
      </c>
      <c r="AB11" s="2560">
        <v>15</v>
      </c>
      <c r="AC11" s="2560">
        <v>15</v>
      </c>
      <c r="AD11" s="2561">
        <v>15</v>
      </c>
      <c r="AE11" s="2559">
        <v>0</v>
      </c>
      <c r="AF11" s="2560">
        <v>1</v>
      </c>
      <c r="AG11" s="2560">
        <v>1</v>
      </c>
      <c r="AH11" s="2560">
        <v>1</v>
      </c>
      <c r="AI11" s="2560">
        <v>1</v>
      </c>
      <c r="AJ11" s="2560">
        <v>1</v>
      </c>
      <c r="AK11" s="2561">
        <v>1</v>
      </c>
      <c r="AL11" s="2559">
        <v>3</v>
      </c>
      <c r="AM11" s="2560">
        <v>3</v>
      </c>
      <c r="AN11" s="2560">
        <v>3</v>
      </c>
      <c r="AO11" s="2560">
        <v>3</v>
      </c>
      <c r="AP11" s="2560">
        <v>3</v>
      </c>
      <c r="AQ11" s="2560">
        <v>3</v>
      </c>
      <c r="AR11" s="2561">
        <v>3</v>
      </c>
      <c r="AS11" s="1392">
        <f>C11+J11+Q11+X11+AE11+AL11</f>
        <v>501</v>
      </c>
      <c r="AT11" s="769">
        <f t="shared" ref="AT11:AY11" si="16">D11+K11+R11+Y11+AF11+AM11</f>
        <v>502</v>
      </c>
      <c r="AU11" s="769">
        <f t="shared" si="16"/>
        <v>533</v>
      </c>
      <c r="AV11" s="769">
        <f t="shared" si="16"/>
        <v>548</v>
      </c>
      <c r="AW11" s="769">
        <f t="shared" si="16"/>
        <v>556</v>
      </c>
      <c r="AX11" s="769">
        <f t="shared" si="16"/>
        <v>560</v>
      </c>
      <c r="AY11" s="1390">
        <f t="shared" si="16"/>
        <v>577</v>
      </c>
      <c r="AZ11" s="1582"/>
      <c r="BA11" s="1582"/>
      <c r="BB11" s="1582"/>
      <c r="BC11" s="1582"/>
    </row>
    <row r="12" spans="1:55" s="1583" customFormat="1" ht="20.25" customHeight="1">
      <c r="A12" s="2671" t="s">
        <v>644</v>
      </c>
      <c r="B12" s="2670" t="s">
        <v>1215</v>
      </c>
      <c r="C12" s="2556">
        <v>0</v>
      </c>
      <c r="D12" s="2556">
        <v>0</v>
      </c>
      <c r="E12" s="2556">
        <v>0</v>
      </c>
      <c r="F12" s="2556">
        <v>0</v>
      </c>
      <c r="G12" s="2556">
        <v>0</v>
      </c>
      <c r="H12" s="2556">
        <v>0</v>
      </c>
      <c r="I12" s="2558">
        <v>0</v>
      </c>
      <c r="J12" s="2558">
        <v>0</v>
      </c>
      <c r="K12" s="2558">
        <v>0</v>
      </c>
      <c r="L12" s="2558">
        <v>0</v>
      </c>
      <c r="M12" s="2558">
        <v>0</v>
      </c>
      <c r="N12" s="2558">
        <v>0</v>
      </c>
      <c r="O12" s="2558">
        <v>0</v>
      </c>
      <c r="P12" s="2558">
        <v>0</v>
      </c>
      <c r="Q12" s="2558">
        <v>0</v>
      </c>
      <c r="R12" s="2558">
        <v>0</v>
      </c>
      <c r="S12" s="2558">
        <v>0</v>
      </c>
      <c r="T12" s="2558">
        <v>0</v>
      </c>
      <c r="U12" s="2558">
        <v>0</v>
      </c>
      <c r="V12" s="2558">
        <v>0</v>
      </c>
      <c r="W12" s="2558">
        <v>0</v>
      </c>
      <c r="X12" s="2558">
        <v>0</v>
      </c>
      <c r="Y12" s="2558">
        <v>0</v>
      </c>
      <c r="Z12" s="2558">
        <v>0</v>
      </c>
      <c r="AA12" s="2558">
        <v>0</v>
      </c>
      <c r="AB12" s="2558">
        <v>0</v>
      </c>
      <c r="AC12" s="2558">
        <v>0</v>
      </c>
      <c r="AD12" s="2558">
        <v>0</v>
      </c>
      <c r="AE12" s="2559">
        <v>0</v>
      </c>
      <c r="AF12" s="2560">
        <v>0</v>
      </c>
      <c r="AG12" s="2560">
        <v>0</v>
      </c>
      <c r="AH12" s="2560">
        <v>0</v>
      </c>
      <c r="AI12" s="2560">
        <v>0</v>
      </c>
      <c r="AJ12" s="2560">
        <v>0</v>
      </c>
      <c r="AK12" s="2561">
        <v>0</v>
      </c>
      <c r="AL12" s="2559">
        <v>0</v>
      </c>
      <c r="AM12" s="2560">
        <v>0</v>
      </c>
      <c r="AN12" s="2560">
        <v>0</v>
      </c>
      <c r="AO12" s="2560">
        <v>0</v>
      </c>
      <c r="AP12" s="2560">
        <v>0</v>
      </c>
      <c r="AQ12" s="2560">
        <v>0</v>
      </c>
      <c r="AR12" s="2561">
        <v>0</v>
      </c>
      <c r="AS12" s="1392">
        <f t="shared" ref="AS12:AS13" si="17">C12+J12+Q12+X12+AE12+AL12</f>
        <v>0</v>
      </c>
      <c r="AT12" s="769">
        <f t="shared" ref="AT12:AT14" si="18">D12+K12+R12+Y12+AF12+AM12</f>
        <v>0</v>
      </c>
      <c r="AU12" s="769">
        <f t="shared" ref="AU12:AU14" si="19">E12+L12+S12+Z12+AG12+AN12</f>
        <v>0</v>
      </c>
      <c r="AV12" s="769">
        <f t="shared" ref="AV12:AV14" si="20">F12+M12+T12+AA12+AH12+AO12</f>
        <v>0</v>
      </c>
      <c r="AW12" s="769">
        <f t="shared" ref="AW12:AW14" si="21">G12+N12+U12+AB12+AI12+AP12</f>
        <v>0</v>
      </c>
      <c r="AX12" s="769">
        <f t="shared" ref="AX12:AX14" si="22">H12+O12+V12+AC12+AJ12+AQ12</f>
        <v>0</v>
      </c>
      <c r="AY12" s="1390">
        <f t="shared" ref="AY12:AY14" si="23">I12+P12+W12+AD12+AK12+AR12</f>
        <v>0</v>
      </c>
      <c r="AZ12" s="1582"/>
      <c r="BA12" s="1582"/>
      <c r="BB12" s="1582"/>
      <c r="BC12" s="1582"/>
    </row>
    <row r="13" spans="1:55" s="1583" customFormat="1" ht="20.25" customHeight="1">
      <c r="A13" s="2671" t="s">
        <v>645</v>
      </c>
      <c r="B13" s="2672" t="s">
        <v>1216</v>
      </c>
      <c r="C13" s="2556">
        <v>428</v>
      </c>
      <c r="D13" s="2557">
        <v>428</v>
      </c>
      <c r="E13" s="2557">
        <v>435</v>
      </c>
      <c r="F13" s="2557">
        <v>450</v>
      </c>
      <c r="G13" s="2557">
        <v>450</v>
      </c>
      <c r="H13" s="2557">
        <v>450</v>
      </c>
      <c r="I13" s="2558">
        <v>465</v>
      </c>
      <c r="J13" s="2559">
        <v>28</v>
      </c>
      <c r="K13" s="2560">
        <v>28</v>
      </c>
      <c r="L13" s="2560">
        <v>30</v>
      </c>
      <c r="M13" s="2560">
        <v>30</v>
      </c>
      <c r="N13" s="2560">
        <v>32</v>
      </c>
      <c r="O13" s="2560">
        <v>33</v>
      </c>
      <c r="P13" s="2561">
        <v>35</v>
      </c>
      <c r="Q13" s="2559">
        <v>29</v>
      </c>
      <c r="R13" s="2560">
        <v>29</v>
      </c>
      <c r="S13" s="2560">
        <v>50</v>
      </c>
      <c r="T13" s="2560">
        <v>50</v>
      </c>
      <c r="U13" s="2560">
        <v>55</v>
      </c>
      <c r="V13" s="2560">
        <v>58</v>
      </c>
      <c r="W13" s="2561">
        <v>58</v>
      </c>
      <c r="X13" s="2559">
        <v>13</v>
      </c>
      <c r="Y13" s="2560">
        <v>13</v>
      </c>
      <c r="Z13" s="2560">
        <v>14</v>
      </c>
      <c r="AA13" s="2560">
        <v>14</v>
      </c>
      <c r="AB13" s="2560">
        <v>15</v>
      </c>
      <c r="AC13" s="2560">
        <v>15</v>
      </c>
      <c r="AD13" s="2561">
        <v>15</v>
      </c>
      <c r="AE13" s="2559">
        <v>0</v>
      </c>
      <c r="AF13" s="2560">
        <v>1</v>
      </c>
      <c r="AG13" s="2560">
        <v>1</v>
      </c>
      <c r="AH13" s="2560">
        <v>1</v>
      </c>
      <c r="AI13" s="2560">
        <v>1</v>
      </c>
      <c r="AJ13" s="2560">
        <v>1</v>
      </c>
      <c r="AK13" s="2561">
        <v>1</v>
      </c>
      <c r="AL13" s="2559">
        <v>3</v>
      </c>
      <c r="AM13" s="2560">
        <v>3</v>
      </c>
      <c r="AN13" s="2560">
        <v>3</v>
      </c>
      <c r="AO13" s="2560">
        <v>3</v>
      </c>
      <c r="AP13" s="2560">
        <v>3</v>
      </c>
      <c r="AQ13" s="2560">
        <v>3</v>
      </c>
      <c r="AR13" s="2561">
        <v>3</v>
      </c>
      <c r="AS13" s="1392">
        <f t="shared" si="17"/>
        <v>501</v>
      </c>
      <c r="AT13" s="769">
        <f t="shared" si="18"/>
        <v>502</v>
      </c>
      <c r="AU13" s="769">
        <f t="shared" si="19"/>
        <v>533</v>
      </c>
      <c r="AV13" s="769">
        <f t="shared" si="20"/>
        <v>548</v>
      </c>
      <c r="AW13" s="769">
        <f t="shared" si="21"/>
        <v>556</v>
      </c>
      <c r="AX13" s="769">
        <f t="shared" si="22"/>
        <v>560</v>
      </c>
      <c r="AY13" s="1390">
        <f t="shared" si="23"/>
        <v>577</v>
      </c>
      <c r="AZ13" s="1582"/>
      <c r="BA13" s="1582"/>
      <c r="BB13" s="1582"/>
      <c r="BC13" s="1582"/>
    </row>
    <row r="14" spans="1:55" s="1584" customFormat="1" ht="27" customHeight="1" thickBot="1">
      <c r="A14" s="2673" t="s">
        <v>647</v>
      </c>
      <c r="B14" s="2674" t="s">
        <v>1409</v>
      </c>
      <c r="C14" s="1402">
        <f>C11+C12</f>
        <v>428</v>
      </c>
      <c r="D14" s="1403">
        <f t="shared" ref="D14:AD14" si="24">D11+D12</f>
        <v>428</v>
      </c>
      <c r="E14" s="1403">
        <f t="shared" si="24"/>
        <v>435</v>
      </c>
      <c r="F14" s="1403">
        <f t="shared" si="24"/>
        <v>450</v>
      </c>
      <c r="G14" s="1403">
        <f t="shared" si="24"/>
        <v>450</v>
      </c>
      <c r="H14" s="1403">
        <f t="shared" si="24"/>
        <v>450</v>
      </c>
      <c r="I14" s="1404">
        <f t="shared" si="24"/>
        <v>465</v>
      </c>
      <c r="J14" s="1402">
        <f t="shared" si="24"/>
        <v>28</v>
      </c>
      <c r="K14" s="1403">
        <f t="shared" si="24"/>
        <v>28</v>
      </c>
      <c r="L14" s="1403">
        <f t="shared" si="24"/>
        <v>30</v>
      </c>
      <c r="M14" s="1403">
        <f t="shared" si="24"/>
        <v>30</v>
      </c>
      <c r="N14" s="1403">
        <f t="shared" si="24"/>
        <v>32</v>
      </c>
      <c r="O14" s="1403">
        <f t="shared" si="24"/>
        <v>33</v>
      </c>
      <c r="P14" s="1404">
        <f t="shared" si="24"/>
        <v>35</v>
      </c>
      <c r="Q14" s="1402">
        <f t="shared" si="24"/>
        <v>29</v>
      </c>
      <c r="R14" s="1403">
        <f t="shared" si="24"/>
        <v>29</v>
      </c>
      <c r="S14" s="1403">
        <f t="shared" si="24"/>
        <v>50</v>
      </c>
      <c r="T14" s="1403">
        <f t="shared" si="24"/>
        <v>50</v>
      </c>
      <c r="U14" s="1403">
        <f t="shared" si="24"/>
        <v>55</v>
      </c>
      <c r="V14" s="1403">
        <f t="shared" si="24"/>
        <v>58</v>
      </c>
      <c r="W14" s="1404">
        <f t="shared" si="24"/>
        <v>58</v>
      </c>
      <c r="X14" s="1402">
        <f t="shared" si="24"/>
        <v>13</v>
      </c>
      <c r="Y14" s="1403">
        <f t="shared" si="24"/>
        <v>13</v>
      </c>
      <c r="Z14" s="1403">
        <f t="shared" si="24"/>
        <v>14</v>
      </c>
      <c r="AA14" s="1403">
        <f t="shared" si="24"/>
        <v>14</v>
      </c>
      <c r="AB14" s="1403">
        <f t="shared" si="24"/>
        <v>15</v>
      </c>
      <c r="AC14" s="1403">
        <f t="shared" si="24"/>
        <v>15</v>
      </c>
      <c r="AD14" s="1404">
        <f t="shared" si="24"/>
        <v>15</v>
      </c>
      <c r="AE14" s="1402">
        <f t="shared" ref="AE14:AR14" si="25">AE11+AE12</f>
        <v>0</v>
      </c>
      <c r="AF14" s="1403">
        <f t="shared" si="25"/>
        <v>1</v>
      </c>
      <c r="AG14" s="1403">
        <f t="shared" si="25"/>
        <v>1</v>
      </c>
      <c r="AH14" s="1403">
        <f t="shared" si="25"/>
        <v>1</v>
      </c>
      <c r="AI14" s="1403">
        <f t="shared" si="25"/>
        <v>1</v>
      </c>
      <c r="AJ14" s="1403">
        <f t="shared" si="25"/>
        <v>1</v>
      </c>
      <c r="AK14" s="1404">
        <f t="shared" si="25"/>
        <v>1</v>
      </c>
      <c r="AL14" s="1402">
        <f t="shared" si="25"/>
        <v>3</v>
      </c>
      <c r="AM14" s="1403">
        <f t="shared" si="25"/>
        <v>3</v>
      </c>
      <c r="AN14" s="1403">
        <f t="shared" si="25"/>
        <v>3</v>
      </c>
      <c r="AO14" s="1403">
        <f t="shared" si="25"/>
        <v>3</v>
      </c>
      <c r="AP14" s="1403">
        <f t="shared" si="25"/>
        <v>3</v>
      </c>
      <c r="AQ14" s="1403">
        <f t="shared" si="25"/>
        <v>3</v>
      </c>
      <c r="AR14" s="1404">
        <f t="shared" si="25"/>
        <v>3</v>
      </c>
      <c r="AS14" s="1405">
        <f>C14+J14+Q14+X14+AE14+AL14</f>
        <v>501</v>
      </c>
      <c r="AT14" s="1119">
        <f t="shared" si="18"/>
        <v>502</v>
      </c>
      <c r="AU14" s="1119">
        <f t="shared" si="19"/>
        <v>533</v>
      </c>
      <c r="AV14" s="1119">
        <f t="shared" si="20"/>
        <v>548</v>
      </c>
      <c r="AW14" s="1119">
        <f t="shared" si="21"/>
        <v>556</v>
      </c>
      <c r="AX14" s="1119">
        <f t="shared" si="22"/>
        <v>560</v>
      </c>
      <c r="AY14" s="1120">
        <f t="shared" si="23"/>
        <v>577</v>
      </c>
      <c r="AZ14" s="1568"/>
      <c r="BA14" s="1568"/>
      <c r="BB14" s="1568"/>
      <c r="BC14" s="1568"/>
    </row>
    <row r="15" spans="1:55" s="1584" customFormat="1" ht="18" customHeight="1">
      <c r="A15" s="2675" t="s">
        <v>105</v>
      </c>
      <c r="B15" s="2676" t="s">
        <v>1219</v>
      </c>
      <c r="C15" s="1406">
        <f>'12. Разходи'!C58+'12. Разходи'!C59</f>
        <v>3178</v>
      </c>
      <c r="D15" s="1407">
        <f>'12. Разходи'!D58+'12. Разходи'!D59</f>
        <v>3598</v>
      </c>
      <c r="E15" s="1407">
        <f>'12. Разходи'!E58+'12. Разходи'!E59</f>
        <v>4955</v>
      </c>
      <c r="F15" s="1407">
        <f>'12. Разходи'!F58+'12. Разходи'!F59</f>
        <v>5139</v>
      </c>
      <c r="G15" s="1407">
        <f>'12. Разходи'!G58+'12. Разходи'!G59</f>
        <v>5139</v>
      </c>
      <c r="H15" s="1407">
        <f>'12. Разходи'!H58+'12. Разходи'!H59</f>
        <v>5139</v>
      </c>
      <c r="I15" s="1408">
        <f>'12. Разходи'!I58+'12. Разходи'!I59</f>
        <v>5716</v>
      </c>
      <c r="J15" s="1406">
        <f>'12. Разходи'!J58+'12. Разходи'!J59</f>
        <v>351</v>
      </c>
      <c r="K15" s="1407">
        <f>'12. Разходи'!K58+'12. Разходи'!K59</f>
        <v>370</v>
      </c>
      <c r="L15" s="1407">
        <f>'12. Разходи'!L58+'12. Разходи'!L59</f>
        <v>377</v>
      </c>
      <c r="M15" s="1407">
        <f>'12. Разходи'!M58+'12. Разходи'!M59</f>
        <v>377</v>
      </c>
      <c r="N15" s="1407">
        <f>'12. Разходи'!N58+'12. Разходи'!N59</f>
        <v>409</v>
      </c>
      <c r="O15" s="1407">
        <f>'12. Разходи'!O58+'12. Разходи'!O59</f>
        <v>414</v>
      </c>
      <c r="P15" s="1408">
        <f>'12. Разходи'!P58+'12. Разходи'!P59</f>
        <v>441</v>
      </c>
      <c r="Q15" s="1406">
        <f>'12. Разходи'!Q58+'12. Разходи'!Q59</f>
        <v>227</v>
      </c>
      <c r="R15" s="1407">
        <f>'12. Разходи'!R58+'12. Разходи'!R59</f>
        <v>229</v>
      </c>
      <c r="S15" s="1407">
        <f>'12. Разходи'!S58+'12. Разходи'!S59</f>
        <v>510</v>
      </c>
      <c r="T15" s="1407">
        <f>'12. Разходи'!T58+'12. Разходи'!T59</f>
        <v>570</v>
      </c>
      <c r="U15" s="1407">
        <f>'12. Разходи'!U58+'12. Разходи'!U59</f>
        <v>645</v>
      </c>
      <c r="V15" s="1407">
        <f>'12. Разходи'!V58+'12. Разходи'!V59</f>
        <v>731</v>
      </c>
      <c r="W15" s="1408">
        <f>'12. Разходи'!W58+'12. Разходи'!W59</f>
        <v>731</v>
      </c>
      <c r="X15" s="1406">
        <f>'12. Разходи'!X58+'12. Разходи'!X59</f>
        <v>83</v>
      </c>
      <c r="Y15" s="1407">
        <f>'12. Разходи'!Y58+'12. Разходи'!Y59</f>
        <v>138</v>
      </c>
      <c r="Z15" s="1407">
        <f>'12. Разходи'!Z58+'12. Разходи'!Z59</f>
        <v>128</v>
      </c>
      <c r="AA15" s="1407">
        <f>'12. Разходи'!AA58+'12. Разходи'!AA59</f>
        <v>130</v>
      </c>
      <c r="AB15" s="1407">
        <f>'12. Разходи'!AB58+'12. Разходи'!AB59</f>
        <v>130</v>
      </c>
      <c r="AC15" s="1407">
        <f>'12. Разходи'!AC58+'12. Разходи'!AC59</f>
        <v>131</v>
      </c>
      <c r="AD15" s="1408">
        <f>'12. Разходи'!AD58+'12. Разходи'!AD59</f>
        <v>132</v>
      </c>
      <c r="AE15" s="2562">
        <v>0</v>
      </c>
      <c r="AF15" s="2562">
        <v>0</v>
      </c>
      <c r="AG15" s="2562">
        <v>0</v>
      </c>
      <c r="AH15" s="2562">
        <v>0</v>
      </c>
      <c r="AI15" s="2562">
        <v>0</v>
      </c>
      <c r="AJ15" s="2562">
        <v>0</v>
      </c>
      <c r="AK15" s="2562">
        <v>0</v>
      </c>
      <c r="AL15" s="2562">
        <v>0</v>
      </c>
      <c r="AM15" s="2562">
        <v>0</v>
      </c>
      <c r="AN15" s="2562">
        <v>0</v>
      </c>
      <c r="AO15" s="2562">
        <v>0</v>
      </c>
      <c r="AP15" s="2562">
        <v>0</v>
      </c>
      <c r="AQ15" s="2562">
        <v>0</v>
      </c>
      <c r="AR15" s="2562">
        <v>0</v>
      </c>
      <c r="AS15" s="1105">
        <f t="shared" ref="AS15:AS20" si="26">C15+J15+Q15+X15+AE15+AL15</f>
        <v>3839</v>
      </c>
      <c r="AT15" s="1106">
        <f t="shared" ref="AT15:AT20" si="27">D15+K15+R15+Y15+AF15+AM15</f>
        <v>4335</v>
      </c>
      <c r="AU15" s="1106">
        <f t="shared" ref="AU15:AU20" si="28">E15+L15+S15+Z15+AG15+AN15</f>
        <v>5970</v>
      </c>
      <c r="AV15" s="1106">
        <f t="shared" ref="AV15:AV20" si="29">F15+M15+T15+AA15+AH15+AO15</f>
        <v>6216</v>
      </c>
      <c r="AW15" s="1106">
        <f t="shared" ref="AW15:AW20" si="30">G15+N15+U15+AB15+AI15+AP15</f>
        <v>6323</v>
      </c>
      <c r="AX15" s="1106">
        <f t="shared" ref="AX15:AX20" si="31">H15+O15+V15+AC15+AJ15+AQ15</f>
        <v>6415</v>
      </c>
      <c r="AY15" s="1107">
        <f t="shared" ref="AY15:AY20" si="32">I15+P15+W15+AD15+AK15+AR15</f>
        <v>7020</v>
      </c>
      <c r="AZ15" s="1568"/>
      <c r="BA15" s="1568"/>
      <c r="BB15" s="1568"/>
      <c r="BC15" s="1568"/>
    </row>
    <row r="16" spans="1:55" s="1584" customFormat="1" ht="18" customHeight="1">
      <c r="A16" s="2677" t="s">
        <v>107</v>
      </c>
      <c r="B16" s="2678" t="s">
        <v>981</v>
      </c>
      <c r="C16" s="1396">
        <f>'12. Разходи'!C62+'12. Разходи'!C63</f>
        <v>567</v>
      </c>
      <c r="D16" s="1387">
        <f>'12. Разходи'!D62+'12. Разходи'!D63</f>
        <v>689</v>
      </c>
      <c r="E16" s="1387">
        <f>'12. Разходи'!E62+'12. Разходи'!E63</f>
        <v>893</v>
      </c>
      <c r="F16" s="1387">
        <f>'12. Разходи'!F62+'12. Разходи'!F63</f>
        <v>895</v>
      </c>
      <c r="G16" s="1387">
        <f>'12. Разходи'!G62+'12. Разходи'!G63</f>
        <v>925</v>
      </c>
      <c r="H16" s="1387">
        <f>'12. Разходи'!H62+'12. Разходи'!H63</f>
        <v>925</v>
      </c>
      <c r="I16" s="1397">
        <f>'12. Разходи'!I62+'12. Разходи'!I63</f>
        <v>1029</v>
      </c>
      <c r="J16" s="1396">
        <f>'12. Разходи'!J62+'12. Разходи'!J63</f>
        <v>99</v>
      </c>
      <c r="K16" s="1387">
        <f>'12. Разходи'!K62+'12. Разходи'!K63</f>
        <v>80</v>
      </c>
      <c r="L16" s="1387">
        <f>'12. Разходи'!L62+'12. Разходи'!L63</f>
        <v>68</v>
      </c>
      <c r="M16" s="1387">
        <f>'12. Разходи'!M62+'12. Разходи'!M63</f>
        <v>68</v>
      </c>
      <c r="N16" s="1387">
        <f>'12. Разходи'!N62+'12. Разходи'!N63</f>
        <v>74</v>
      </c>
      <c r="O16" s="1387">
        <f>'12. Разходи'!O62+'12. Разходи'!O63</f>
        <v>74</v>
      </c>
      <c r="P16" s="1397">
        <f>'12. Разходи'!P62+'12. Разходи'!P63</f>
        <v>79</v>
      </c>
      <c r="Q16" s="1396">
        <f>'12. Разходи'!Q62+'12. Разходи'!Q63</f>
        <v>46</v>
      </c>
      <c r="R16" s="1387">
        <f>'12. Разходи'!R62+'12. Разходи'!R63</f>
        <v>44</v>
      </c>
      <c r="S16" s="1387">
        <f>'12. Разходи'!S62+'12. Разходи'!S63</f>
        <v>92</v>
      </c>
      <c r="T16" s="1387">
        <f>'12. Разходи'!T62+'12. Разходи'!T63</f>
        <v>103</v>
      </c>
      <c r="U16" s="1387">
        <f>'12. Разходи'!U62+'12. Разходи'!U63</f>
        <v>116</v>
      </c>
      <c r="V16" s="1387">
        <f>'12. Разходи'!V62+'12. Разходи'!V63</f>
        <v>132</v>
      </c>
      <c r="W16" s="1397">
        <f>'12. Разходи'!W62+'12. Разходи'!W63</f>
        <v>132</v>
      </c>
      <c r="X16" s="1396">
        <f>'12. Разходи'!X62+'12. Разходи'!X63</f>
        <v>17</v>
      </c>
      <c r="Y16" s="1387">
        <f>'12. Разходи'!Y62+'12. Разходи'!Y63</f>
        <v>21</v>
      </c>
      <c r="Z16" s="1387">
        <f>'12. Разходи'!Z62+'12. Разходи'!Z63</f>
        <v>23</v>
      </c>
      <c r="AA16" s="1387">
        <f>'12. Разходи'!AA62+'12. Разходи'!AA63</f>
        <v>23</v>
      </c>
      <c r="AB16" s="1387">
        <f>'12. Разходи'!AB62+'12. Разходи'!AB63</f>
        <v>23</v>
      </c>
      <c r="AC16" s="1387">
        <f>'12. Разходи'!AC62+'12. Разходи'!AC63</f>
        <v>24</v>
      </c>
      <c r="AD16" s="1397">
        <f>'12. Разходи'!AD62+'12. Разходи'!AD63</f>
        <v>24</v>
      </c>
      <c r="AE16" s="2562">
        <v>0</v>
      </c>
      <c r="AF16" s="2562">
        <v>0</v>
      </c>
      <c r="AG16" s="2562">
        <v>0</v>
      </c>
      <c r="AH16" s="2562">
        <v>0</v>
      </c>
      <c r="AI16" s="2562">
        <v>0</v>
      </c>
      <c r="AJ16" s="2562">
        <v>0</v>
      </c>
      <c r="AK16" s="2562">
        <v>0</v>
      </c>
      <c r="AL16" s="2562">
        <v>0</v>
      </c>
      <c r="AM16" s="2562">
        <v>0</v>
      </c>
      <c r="AN16" s="2562">
        <v>0</v>
      </c>
      <c r="AO16" s="2562">
        <v>0</v>
      </c>
      <c r="AP16" s="2562">
        <v>0</v>
      </c>
      <c r="AQ16" s="2562">
        <v>0</v>
      </c>
      <c r="AR16" s="2562">
        <v>0</v>
      </c>
      <c r="AS16" s="1108">
        <f t="shared" si="26"/>
        <v>729</v>
      </c>
      <c r="AT16" s="1109">
        <f t="shared" si="27"/>
        <v>834</v>
      </c>
      <c r="AU16" s="1109">
        <f t="shared" si="28"/>
        <v>1076</v>
      </c>
      <c r="AV16" s="1109">
        <f t="shared" si="29"/>
        <v>1089</v>
      </c>
      <c r="AW16" s="1109">
        <f t="shared" si="30"/>
        <v>1138</v>
      </c>
      <c r="AX16" s="1109">
        <f t="shared" si="31"/>
        <v>1155</v>
      </c>
      <c r="AY16" s="1110">
        <f t="shared" si="32"/>
        <v>1264</v>
      </c>
      <c r="AZ16" s="1568"/>
      <c r="BA16" s="1568"/>
      <c r="BB16" s="1568"/>
      <c r="BC16" s="1568"/>
    </row>
    <row r="17" spans="1:52" ht="18" customHeight="1">
      <c r="A17" s="2679" t="s">
        <v>225</v>
      </c>
      <c r="B17" s="2680" t="s">
        <v>983</v>
      </c>
      <c r="C17" s="1396">
        <f>'12. Разходи'!C64+'12. Разходи'!C65</f>
        <v>216</v>
      </c>
      <c r="D17" s="1387">
        <f>'12. Разходи'!D64+'12. Разходи'!D65</f>
        <v>360</v>
      </c>
      <c r="E17" s="1387">
        <f>'12. Разходи'!E64+'12. Разходи'!E65</f>
        <v>397</v>
      </c>
      <c r="F17" s="1387">
        <f>'12. Разходи'!F64+'12. Разходи'!F65</f>
        <v>411</v>
      </c>
      <c r="G17" s="1387">
        <f>'12. Разходи'!G64+'12. Разходи'!G65</f>
        <v>411</v>
      </c>
      <c r="H17" s="1387">
        <f>'12. Разходи'!H64+'12. Разходи'!H65</f>
        <v>411</v>
      </c>
      <c r="I17" s="1397">
        <f>'12. Разходи'!I64+'12. Разходи'!I65</f>
        <v>457</v>
      </c>
      <c r="J17" s="1396">
        <f>'12. Разходи'!J64+'12. Разходи'!J65</f>
        <v>15</v>
      </c>
      <c r="K17" s="1387">
        <f>'12. Разходи'!K64+'12. Разходи'!K65</f>
        <v>37</v>
      </c>
      <c r="L17" s="1387">
        <f>'12. Разходи'!L64+'12. Разходи'!L65</f>
        <v>30</v>
      </c>
      <c r="M17" s="1387">
        <f>'12. Разходи'!M64+'12. Разходи'!M65</f>
        <v>30</v>
      </c>
      <c r="N17" s="1387">
        <f>'12. Разходи'!N64+'12. Разходи'!N65</f>
        <v>33</v>
      </c>
      <c r="O17" s="1387">
        <f>'12. Разходи'!O64+'12. Разходи'!O65</f>
        <v>33</v>
      </c>
      <c r="P17" s="1397">
        <f>'12. Разходи'!P64+'12. Разходи'!P65</f>
        <v>35</v>
      </c>
      <c r="Q17" s="1396">
        <f>'12. Разходи'!Q64+'12. Разходи'!Q65</f>
        <v>14</v>
      </c>
      <c r="R17" s="1387">
        <f>'12. Разходи'!R64+'12. Разходи'!R65</f>
        <v>23</v>
      </c>
      <c r="S17" s="1387">
        <f>'12. Разходи'!S64+'12. Разходи'!S65</f>
        <v>41</v>
      </c>
      <c r="T17" s="1387">
        <f>'12. Разходи'!T64+'12. Разходи'!T65</f>
        <v>46</v>
      </c>
      <c r="U17" s="1387">
        <f>'12. Разходи'!U64+'12. Разходи'!U65</f>
        <v>52</v>
      </c>
      <c r="V17" s="1387">
        <f>'12. Разходи'!V64+'12. Разходи'!V65</f>
        <v>58</v>
      </c>
      <c r="W17" s="1397">
        <f>'12. Разходи'!W64+'12. Разходи'!W65</f>
        <v>58</v>
      </c>
      <c r="X17" s="1396">
        <f>'12. Разходи'!X64+'12. Разходи'!X65</f>
        <v>6</v>
      </c>
      <c r="Y17" s="1387">
        <f>'12. Разходи'!Y64+'12. Разходи'!Y65</f>
        <v>11</v>
      </c>
      <c r="Z17" s="1387">
        <f>'12. Разходи'!Z64+'12. Разходи'!Z65</f>
        <v>10</v>
      </c>
      <c r="AA17" s="1387">
        <f>'12. Разходи'!AA64+'12. Разходи'!AA65</f>
        <v>10</v>
      </c>
      <c r="AB17" s="1387">
        <f>'12. Разходи'!AB64+'12. Разходи'!AB65</f>
        <v>10</v>
      </c>
      <c r="AC17" s="1387">
        <f>'12. Разходи'!AC64+'12. Разходи'!AC65</f>
        <v>10</v>
      </c>
      <c r="AD17" s="1397">
        <f>'12. Разходи'!AD64+'12. Разходи'!AD65</f>
        <v>11</v>
      </c>
      <c r="AE17" s="2562">
        <v>0</v>
      </c>
      <c r="AF17" s="2562">
        <v>0</v>
      </c>
      <c r="AG17" s="2562">
        <v>0</v>
      </c>
      <c r="AH17" s="2562">
        <v>0</v>
      </c>
      <c r="AI17" s="2562">
        <v>0</v>
      </c>
      <c r="AJ17" s="2562">
        <v>0</v>
      </c>
      <c r="AK17" s="2562">
        <v>0</v>
      </c>
      <c r="AL17" s="2562">
        <v>0</v>
      </c>
      <c r="AM17" s="2562">
        <v>0</v>
      </c>
      <c r="AN17" s="2562">
        <v>0</v>
      </c>
      <c r="AO17" s="2562">
        <v>0</v>
      </c>
      <c r="AP17" s="2562">
        <v>0</v>
      </c>
      <c r="AQ17" s="2562">
        <v>0</v>
      </c>
      <c r="AR17" s="2562">
        <v>0</v>
      </c>
      <c r="AS17" s="1108">
        <f>C17+J17+Q17+X17+AE17+AL17</f>
        <v>251</v>
      </c>
      <c r="AT17" s="1109">
        <f t="shared" si="27"/>
        <v>431</v>
      </c>
      <c r="AU17" s="1109">
        <f t="shared" si="28"/>
        <v>478</v>
      </c>
      <c r="AV17" s="1109">
        <f t="shared" si="29"/>
        <v>497</v>
      </c>
      <c r="AW17" s="1109">
        <f t="shared" si="30"/>
        <v>506</v>
      </c>
      <c r="AX17" s="1109">
        <f t="shared" si="31"/>
        <v>512</v>
      </c>
      <c r="AY17" s="1110">
        <f t="shared" si="32"/>
        <v>561</v>
      </c>
    </row>
    <row r="18" spans="1:52" ht="18" customHeight="1">
      <c r="A18" s="2679" t="s">
        <v>306</v>
      </c>
      <c r="B18" s="2680" t="s">
        <v>984</v>
      </c>
      <c r="C18" s="2562">
        <v>0</v>
      </c>
      <c r="D18" s="2563">
        <v>0</v>
      </c>
      <c r="E18" s="2563">
        <v>100</v>
      </c>
      <c r="F18" s="2563">
        <v>100</v>
      </c>
      <c r="G18" s="2563">
        <v>100</v>
      </c>
      <c r="H18" s="2563">
        <v>100</v>
      </c>
      <c r="I18" s="2564">
        <v>100</v>
      </c>
      <c r="J18" s="2562">
        <v>0</v>
      </c>
      <c r="K18" s="2562">
        <v>0</v>
      </c>
      <c r="L18" s="2562">
        <v>0</v>
      </c>
      <c r="M18" s="2562">
        <v>0</v>
      </c>
      <c r="N18" s="2562">
        <v>0</v>
      </c>
      <c r="O18" s="2562">
        <v>0</v>
      </c>
      <c r="P18" s="2562">
        <v>0</v>
      </c>
      <c r="Q18" s="2562">
        <v>0</v>
      </c>
      <c r="R18" s="2562">
        <v>0</v>
      </c>
      <c r="S18" s="2562">
        <v>0</v>
      </c>
      <c r="T18" s="2562">
        <v>0</v>
      </c>
      <c r="U18" s="2562">
        <v>0</v>
      </c>
      <c r="V18" s="2562">
        <v>0</v>
      </c>
      <c r="W18" s="2562">
        <v>0</v>
      </c>
      <c r="X18" s="2562">
        <v>0</v>
      </c>
      <c r="Y18" s="2562">
        <v>0</v>
      </c>
      <c r="Z18" s="2562">
        <v>0</v>
      </c>
      <c r="AA18" s="2562">
        <v>0</v>
      </c>
      <c r="AB18" s="2562">
        <v>0</v>
      </c>
      <c r="AC18" s="2562">
        <v>0</v>
      </c>
      <c r="AD18" s="2562">
        <v>0</v>
      </c>
      <c r="AE18" s="2562">
        <v>0</v>
      </c>
      <c r="AF18" s="2562">
        <v>0</v>
      </c>
      <c r="AG18" s="2562">
        <v>0</v>
      </c>
      <c r="AH18" s="2562">
        <v>0</v>
      </c>
      <c r="AI18" s="2562">
        <v>0</v>
      </c>
      <c r="AJ18" s="2562">
        <v>0</v>
      </c>
      <c r="AK18" s="2562">
        <v>0</v>
      </c>
      <c r="AL18" s="2562">
        <v>0</v>
      </c>
      <c r="AM18" s="2562">
        <v>0</v>
      </c>
      <c r="AN18" s="2562">
        <v>0</v>
      </c>
      <c r="AO18" s="2562">
        <v>0</v>
      </c>
      <c r="AP18" s="2562">
        <v>0</v>
      </c>
      <c r="AQ18" s="2562">
        <v>0</v>
      </c>
      <c r="AR18" s="2562">
        <v>0</v>
      </c>
      <c r="AS18" s="1108">
        <f t="shared" si="26"/>
        <v>0</v>
      </c>
      <c r="AT18" s="1109">
        <f t="shared" si="27"/>
        <v>0</v>
      </c>
      <c r="AU18" s="1109">
        <f t="shared" si="28"/>
        <v>100</v>
      </c>
      <c r="AV18" s="1109">
        <f t="shared" si="29"/>
        <v>100</v>
      </c>
      <c r="AW18" s="1109">
        <f t="shared" si="30"/>
        <v>100</v>
      </c>
      <c r="AX18" s="1109">
        <f t="shared" si="31"/>
        <v>100</v>
      </c>
      <c r="AY18" s="1110">
        <f t="shared" si="32"/>
        <v>100</v>
      </c>
    </row>
    <row r="19" spans="1:52" ht="17.25" customHeight="1">
      <c r="A19" s="2679" t="s">
        <v>308</v>
      </c>
      <c r="B19" s="2680" t="s">
        <v>985</v>
      </c>
      <c r="C19" s="2562">
        <v>0</v>
      </c>
      <c r="D19" s="2563">
        <v>0</v>
      </c>
      <c r="E19" s="2563">
        <v>18</v>
      </c>
      <c r="F19" s="2563">
        <v>18</v>
      </c>
      <c r="G19" s="2563">
        <v>18</v>
      </c>
      <c r="H19" s="2563">
        <v>18</v>
      </c>
      <c r="I19" s="2564">
        <v>18</v>
      </c>
      <c r="J19" s="2562">
        <v>0</v>
      </c>
      <c r="K19" s="2562">
        <v>0</v>
      </c>
      <c r="L19" s="2562">
        <v>0</v>
      </c>
      <c r="M19" s="2562">
        <v>0</v>
      </c>
      <c r="N19" s="2562">
        <v>0</v>
      </c>
      <c r="O19" s="2562">
        <v>0</v>
      </c>
      <c r="P19" s="2562">
        <v>0</v>
      </c>
      <c r="Q19" s="2562">
        <v>0</v>
      </c>
      <c r="R19" s="2562">
        <v>0</v>
      </c>
      <c r="S19" s="2562">
        <v>0</v>
      </c>
      <c r="T19" s="2562">
        <v>0</v>
      </c>
      <c r="U19" s="2562">
        <v>0</v>
      </c>
      <c r="V19" s="2562">
        <v>0</v>
      </c>
      <c r="W19" s="2562">
        <v>0</v>
      </c>
      <c r="X19" s="2562">
        <v>0</v>
      </c>
      <c r="Y19" s="2562">
        <v>0</v>
      </c>
      <c r="Z19" s="2562">
        <v>0</v>
      </c>
      <c r="AA19" s="2562">
        <v>0</v>
      </c>
      <c r="AB19" s="2562">
        <v>0</v>
      </c>
      <c r="AC19" s="2562">
        <v>0</v>
      </c>
      <c r="AD19" s="2562">
        <v>0</v>
      </c>
      <c r="AE19" s="2562">
        <v>0</v>
      </c>
      <c r="AF19" s="2562">
        <v>0</v>
      </c>
      <c r="AG19" s="2562">
        <v>0</v>
      </c>
      <c r="AH19" s="2562">
        <v>0</v>
      </c>
      <c r="AI19" s="2562">
        <v>0</v>
      </c>
      <c r="AJ19" s="2562">
        <v>0</v>
      </c>
      <c r="AK19" s="2562">
        <v>0</v>
      </c>
      <c r="AL19" s="2562">
        <v>0</v>
      </c>
      <c r="AM19" s="2562">
        <v>0</v>
      </c>
      <c r="AN19" s="2562">
        <v>0</v>
      </c>
      <c r="AO19" s="2562">
        <v>0</v>
      </c>
      <c r="AP19" s="2562">
        <v>0</v>
      </c>
      <c r="AQ19" s="2562">
        <v>0</v>
      </c>
      <c r="AR19" s="2562">
        <v>0</v>
      </c>
      <c r="AS19" s="1108">
        <f t="shared" si="26"/>
        <v>0</v>
      </c>
      <c r="AT19" s="1109">
        <f t="shared" si="27"/>
        <v>0</v>
      </c>
      <c r="AU19" s="1109">
        <f t="shared" si="28"/>
        <v>18</v>
      </c>
      <c r="AV19" s="1109">
        <f t="shared" si="29"/>
        <v>18</v>
      </c>
      <c r="AW19" s="1109">
        <f t="shared" si="30"/>
        <v>18</v>
      </c>
      <c r="AX19" s="1109">
        <f t="shared" si="31"/>
        <v>18</v>
      </c>
      <c r="AY19" s="1110">
        <f t="shared" si="32"/>
        <v>18</v>
      </c>
    </row>
    <row r="20" spans="1:52" ht="21" customHeight="1" thickBot="1">
      <c r="A20" s="2681" t="s">
        <v>310</v>
      </c>
      <c r="B20" s="2682" t="s">
        <v>986</v>
      </c>
      <c r="C20" s="2565">
        <v>0</v>
      </c>
      <c r="D20" s="2566">
        <v>0</v>
      </c>
      <c r="E20" s="2566">
        <v>8</v>
      </c>
      <c r="F20" s="2566">
        <v>8</v>
      </c>
      <c r="G20" s="2566">
        <v>8</v>
      </c>
      <c r="H20" s="2566">
        <v>8</v>
      </c>
      <c r="I20" s="2567">
        <v>8</v>
      </c>
      <c r="J20" s="2562">
        <v>0</v>
      </c>
      <c r="K20" s="2562">
        <v>0</v>
      </c>
      <c r="L20" s="2562">
        <v>0</v>
      </c>
      <c r="M20" s="2562">
        <v>0</v>
      </c>
      <c r="N20" s="2562">
        <v>0</v>
      </c>
      <c r="O20" s="2562">
        <v>0</v>
      </c>
      <c r="P20" s="2562">
        <v>0</v>
      </c>
      <c r="Q20" s="2562">
        <v>0</v>
      </c>
      <c r="R20" s="2562">
        <v>0</v>
      </c>
      <c r="S20" s="2562">
        <v>0</v>
      </c>
      <c r="T20" s="2562">
        <v>0</v>
      </c>
      <c r="U20" s="2562">
        <v>0</v>
      </c>
      <c r="V20" s="2562">
        <v>0</v>
      </c>
      <c r="W20" s="2562">
        <v>0</v>
      </c>
      <c r="X20" s="2562">
        <v>0</v>
      </c>
      <c r="Y20" s="2562">
        <v>0</v>
      </c>
      <c r="Z20" s="2562">
        <v>0</v>
      </c>
      <c r="AA20" s="2562">
        <v>0</v>
      </c>
      <c r="AB20" s="2562">
        <v>0</v>
      </c>
      <c r="AC20" s="2562">
        <v>0</v>
      </c>
      <c r="AD20" s="2562">
        <v>0</v>
      </c>
      <c r="AE20" s="2562">
        <v>0</v>
      </c>
      <c r="AF20" s="2562">
        <v>0</v>
      </c>
      <c r="AG20" s="2562">
        <v>0</v>
      </c>
      <c r="AH20" s="2562">
        <v>0</v>
      </c>
      <c r="AI20" s="2562">
        <v>0</v>
      </c>
      <c r="AJ20" s="2562">
        <v>0</v>
      </c>
      <c r="AK20" s="2562">
        <v>0</v>
      </c>
      <c r="AL20" s="2562">
        <v>0</v>
      </c>
      <c r="AM20" s="2562">
        <v>0</v>
      </c>
      <c r="AN20" s="2562">
        <v>0</v>
      </c>
      <c r="AO20" s="2562">
        <v>0</v>
      </c>
      <c r="AP20" s="2562">
        <v>0</v>
      </c>
      <c r="AQ20" s="2562">
        <v>0</v>
      </c>
      <c r="AR20" s="2562">
        <v>0</v>
      </c>
      <c r="AS20" s="1409">
        <f t="shared" si="26"/>
        <v>0</v>
      </c>
      <c r="AT20" s="1111">
        <f t="shared" si="27"/>
        <v>0</v>
      </c>
      <c r="AU20" s="1111">
        <f t="shared" si="28"/>
        <v>8</v>
      </c>
      <c r="AV20" s="1111">
        <f t="shared" si="29"/>
        <v>8</v>
      </c>
      <c r="AW20" s="1111">
        <f t="shared" si="30"/>
        <v>8</v>
      </c>
      <c r="AX20" s="1111">
        <f t="shared" si="31"/>
        <v>8</v>
      </c>
      <c r="AY20" s="1112">
        <f t="shared" si="32"/>
        <v>8</v>
      </c>
    </row>
    <row r="21" spans="1:52" s="1584" customFormat="1" ht="30.75" customHeight="1">
      <c r="A21" s="2683" t="s">
        <v>227</v>
      </c>
      <c r="B21" s="2684" t="s">
        <v>1401</v>
      </c>
      <c r="C21" s="1491">
        <f>SUM(C22:C28)</f>
        <v>3961</v>
      </c>
      <c r="D21" s="1492">
        <f t="shared" ref="D21:I21" si="33">SUM(D22:D28)</f>
        <v>4647</v>
      </c>
      <c r="E21" s="1492">
        <f t="shared" si="33"/>
        <v>6245</v>
      </c>
      <c r="F21" s="1492">
        <f t="shared" si="33"/>
        <v>6475</v>
      </c>
      <c r="G21" s="1492">
        <f t="shared" si="33"/>
        <v>6475</v>
      </c>
      <c r="H21" s="1492">
        <f t="shared" si="33"/>
        <v>6475</v>
      </c>
      <c r="I21" s="1493">
        <f t="shared" si="33"/>
        <v>7202</v>
      </c>
      <c r="J21" s="1491">
        <f>SUM(J22:J28)</f>
        <v>465</v>
      </c>
      <c r="K21" s="1492">
        <f t="shared" ref="K21:P21" si="34">SUM(K22:K28)</f>
        <v>487</v>
      </c>
      <c r="L21" s="1492">
        <f t="shared" si="34"/>
        <v>474</v>
      </c>
      <c r="M21" s="1492">
        <f t="shared" si="34"/>
        <v>474</v>
      </c>
      <c r="N21" s="1492">
        <f t="shared" si="34"/>
        <v>520</v>
      </c>
      <c r="O21" s="1492">
        <f t="shared" si="34"/>
        <v>520</v>
      </c>
      <c r="P21" s="1493">
        <f t="shared" si="34"/>
        <v>555</v>
      </c>
      <c r="Q21" s="1491">
        <f>SUM(Q22:Q28)</f>
        <v>287</v>
      </c>
      <c r="R21" s="1492">
        <f t="shared" ref="R21:W21" si="35">SUM(R22:R28)</f>
        <v>296</v>
      </c>
      <c r="S21" s="1492">
        <f t="shared" si="35"/>
        <v>643</v>
      </c>
      <c r="T21" s="1492">
        <f t="shared" si="35"/>
        <v>719</v>
      </c>
      <c r="U21" s="1492">
        <f t="shared" si="35"/>
        <v>813</v>
      </c>
      <c r="V21" s="1492">
        <f t="shared" si="35"/>
        <v>921</v>
      </c>
      <c r="W21" s="1493">
        <f t="shared" si="35"/>
        <v>921</v>
      </c>
      <c r="X21" s="1491">
        <f>SUM(X22:X28)</f>
        <v>106</v>
      </c>
      <c r="Y21" s="1492">
        <f t="shared" ref="Y21:AD21" si="36">SUM(Y22:Y28)</f>
        <v>138</v>
      </c>
      <c r="Z21" s="1492">
        <f t="shared" si="36"/>
        <v>135</v>
      </c>
      <c r="AA21" s="1492">
        <f t="shared" si="36"/>
        <v>136</v>
      </c>
      <c r="AB21" s="1492">
        <f t="shared" si="36"/>
        <v>138</v>
      </c>
      <c r="AC21" s="1492">
        <f t="shared" si="36"/>
        <v>140</v>
      </c>
      <c r="AD21" s="1493">
        <f t="shared" si="36"/>
        <v>142</v>
      </c>
      <c r="AE21" s="1491">
        <f>SUM(AE22:AE28)</f>
        <v>0</v>
      </c>
      <c r="AF21" s="1492">
        <f t="shared" ref="AF21:AK21" si="37">SUM(AF22:AF28)</f>
        <v>5.32</v>
      </c>
      <c r="AG21" s="1492">
        <f t="shared" si="37"/>
        <v>5.04</v>
      </c>
      <c r="AH21" s="1492">
        <f t="shared" si="37"/>
        <v>5.04</v>
      </c>
      <c r="AI21" s="1492">
        <f t="shared" si="37"/>
        <v>5.04</v>
      </c>
      <c r="AJ21" s="1492">
        <f t="shared" si="37"/>
        <v>5.04</v>
      </c>
      <c r="AK21" s="1493">
        <f t="shared" si="37"/>
        <v>5.04</v>
      </c>
      <c r="AL21" s="1491">
        <f>SUM(AL22:AL28)</f>
        <v>28</v>
      </c>
      <c r="AM21" s="1492">
        <f t="shared" ref="AM21:AR21" si="38">SUM(AM22:AM28)</f>
        <v>24</v>
      </c>
      <c r="AN21" s="1492">
        <f t="shared" si="38"/>
        <v>28</v>
      </c>
      <c r="AO21" s="1492">
        <f t="shared" si="38"/>
        <v>28</v>
      </c>
      <c r="AP21" s="1492">
        <f t="shared" si="38"/>
        <v>28</v>
      </c>
      <c r="AQ21" s="1492">
        <f t="shared" si="38"/>
        <v>28</v>
      </c>
      <c r="AR21" s="1493">
        <f t="shared" si="38"/>
        <v>28</v>
      </c>
      <c r="AS21" s="1491">
        <f>SUM(AS22:AS28)</f>
        <v>4847</v>
      </c>
      <c r="AT21" s="1492">
        <f t="shared" ref="AT21:AY21" si="39">SUM(AT22:AT28)</f>
        <v>5597.32</v>
      </c>
      <c r="AU21" s="1492">
        <f t="shared" si="39"/>
        <v>7530.04</v>
      </c>
      <c r="AV21" s="1492">
        <f t="shared" si="39"/>
        <v>7837.04</v>
      </c>
      <c r="AW21" s="1492">
        <f t="shared" si="39"/>
        <v>7979.04</v>
      </c>
      <c r="AX21" s="1492">
        <f t="shared" si="39"/>
        <v>8089.04</v>
      </c>
      <c r="AY21" s="1493">
        <f t="shared" si="39"/>
        <v>8853.0399999999991</v>
      </c>
    </row>
    <row r="22" spans="1:52">
      <c r="A22" s="2679" t="s">
        <v>228</v>
      </c>
      <c r="B22" s="2685" t="s">
        <v>1220</v>
      </c>
      <c r="C22" s="2562">
        <v>2066</v>
      </c>
      <c r="D22" s="2563">
        <v>2339</v>
      </c>
      <c r="E22" s="2563">
        <v>3246</v>
      </c>
      <c r="F22" s="2563">
        <v>3359</v>
      </c>
      <c r="G22" s="2563">
        <v>3359</v>
      </c>
      <c r="H22" s="2563">
        <v>3359</v>
      </c>
      <c r="I22" s="2564">
        <v>3737</v>
      </c>
      <c r="J22" s="2562">
        <v>228</v>
      </c>
      <c r="K22" s="2563">
        <v>238</v>
      </c>
      <c r="L22" s="2563">
        <v>244</v>
      </c>
      <c r="M22" s="2563">
        <v>244</v>
      </c>
      <c r="N22" s="2563">
        <v>268</v>
      </c>
      <c r="O22" s="2563">
        <v>268</v>
      </c>
      <c r="P22" s="2564">
        <v>301</v>
      </c>
      <c r="Q22" s="2562">
        <v>147</v>
      </c>
      <c r="R22" s="2563">
        <v>149</v>
      </c>
      <c r="S22" s="2563">
        <v>333</v>
      </c>
      <c r="T22" s="2563">
        <v>371</v>
      </c>
      <c r="U22" s="2563">
        <v>418</v>
      </c>
      <c r="V22" s="2563">
        <v>439</v>
      </c>
      <c r="W22" s="2564">
        <v>439</v>
      </c>
      <c r="X22" s="2562">
        <v>53</v>
      </c>
      <c r="Y22" s="2563">
        <v>68</v>
      </c>
      <c r="Z22" s="2563">
        <v>69</v>
      </c>
      <c r="AA22" s="2563">
        <v>70</v>
      </c>
      <c r="AB22" s="2563">
        <v>71</v>
      </c>
      <c r="AC22" s="2563">
        <v>72</v>
      </c>
      <c r="AD22" s="2564">
        <v>73</v>
      </c>
      <c r="AE22" s="2562">
        <v>0</v>
      </c>
      <c r="AF22" s="2563">
        <v>4</v>
      </c>
      <c r="AG22" s="2563">
        <v>4</v>
      </c>
      <c r="AH22" s="2563">
        <v>4</v>
      </c>
      <c r="AI22" s="2563">
        <v>4</v>
      </c>
      <c r="AJ22" s="2563">
        <v>4</v>
      </c>
      <c r="AK22" s="2564">
        <v>4</v>
      </c>
      <c r="AL22" s="2562">
        <v>17</v>
      </c>
      <c r="AM22" s="2563">
        <v>15</v>
      </c>
      <c r="AN22" s="2563">
        <v>15</v>
      </c>
      <c r="AO22" s="2563">
        <v>15</v>
      </c>
      <c r="AP22" s="2563">
        <v>15</v>
      </c>
      <c r="AQ22" s="2563">
        <v>15</v>
      </c>
      <c r="AR22" s="2564">
        <v>15</v>
      </c>
      <c r="AS22" s="1108">
        <f t="shared" ref="AS22:AS28" si="40">C22+J22+Q22+X22+AE22+AL22</f>
        <v>2511</v>
      </c>
      <c r="AT22" s="1109">
        <f t="shared" ref="AT22:AT28" si="41">D22+K22+R22+Y22+AF22+AM22</f>
        <v>2813</v>
      </c>
      <c r="AU22" s="1109">
        <f t="shared" ref="AU22:AU28" si="42">E22+L22+S22+Z22+AG22+AN22</f>
        <v>3911</v>
      </c>
      <c r="AV22" s="1109">
        <f t="shared" ref="AV22:AV28" si="43">F22+M22+T22+AA22+AH22+AO22</f>
        <v>4063</v>
      </c>
      <c r="AW22" s="1109">
        <f t="shared" ref="AW22:AW28" si="44">G22+N22+U22+AB22+AI22+AP22</f>
        <v>4135</v>
      </c>
      <c r="AX22" s="1109">
        <f t="shared" ref="AX22:AX28" si="45">H22+O22+V22+AC22+AJ22+AQ22</f>
        <v>4157</v>
      </c>
      <c r="AY22" s="1110">
        <f t="shared" ref="AY22:AY28" si="46">I22+P22+W22+AD22+AK22+AR22</f>
        <v>4569</v>
      </c>
    </row>
    <row r="23" spans="1:52">
      <c r="A23" s="2679" t="s">
        <v>835</v>
      </c>
      <c r="B23" s="2685" t="s">
        <v>1221</v>
      </c>
      <c r="C23" s="2562">
        <v>0</v>
      </c>
      <c r="D23" s="2563">
        <v>0</v>
      </c>
      <c r="E23" s="2563">
        <v>0</v>
      </c>
      <c r="F23" s="2563">
        <v>0</v>
      </c>
      <c r="G23" s="2563">
        <v>0</v>
      </c>
      <c r="H23" s="2563">
        <v>0</v>
      </c>
      <c r="I23" s="2564">
        <v>0</v>
      </c>
      <c r="J23" s="2562"/>
      <c r="K23" s="2563"/>
      <c r="L23" s="2563"/>
      <c r="M23" s="2563"/>
      <c r="N23" s="2563"/>
      <c r="O23" s="2563"/>
      <c r="P23" s="2564"/>
      <c r="Q23" s="2562"/>
      <c r="R23" s="2563"/>
      <c r="S23" s="2563"/>
      <c r="T23" s="2563"/>
      <c r="U23" s="2563"/>
      <c r="V23" s="2563"/>
      <c r="W23" s="2564"/>
      <c r="X23" s="2562">
        <v>0</v>
      </c>
      <c r="Y23" s="2563">
        <v>0</v>
      </c>
      <c r="Z23" s="2563">
        <v>0</v>
      </c>
      <c r="AA23" s="2563">
        <v>0</v>
      </c>
      <c r="AB23" s="2563">
        <v>0</v>
      </c>
      <c r="AC23" s="2563">
        <v>0</v>
      </c>
      <c r="AD23" s="2564">
        <v>0</v>
      </c>
      <c r="AE23" s="2562">
        <v>0</v>
      </c>
      <c r="AF23" s="2563">
        <v>0</v>
      </c>
      <c r="AG23" s="2563">
        <v>0</v>
      </c>
      <c r="AH23" s="2563">
        <v>0</v>
      </c>
      <c r="AI23" s="2563">
        <v>0</v>
      </c>
      <c r="AJ23" s="2563">
        <v>0</v>
      </c>
      <c r="AK23" s="2564">
        <v>0</v>
      </c>
      <c r="AL23" s="2562">
        <v>0</v>
      </c>
      <c r="AM23" s="2563">
        <v>0</v>
      </c>
      <c r="AN23" s="2563">
        <v>0</v>
      </c>
      <c r="AO23" s="2563">
        <v>0</v>
      </c>
      <c r="AP23" s="2563">
        <v>0</v>
      </c>
      <c r="AQ23" s="2563">
        <v>0</v>
      </c>
      <c r="AR23" s="2564">
        <v>0</v>
      </c>
      <c r="AS23" s="1108">
        <f t="shared" si="40"/>
        <v>0</v>
      </c>
      <c r="AT23" s="1109">
        <f t="shared" si="41"/>
        <v>0</v>
      </c>
      <c r="AU23" s="1109">
        <f t="shared" si="42"/>
        <v>0</v>
      </c>
      <c r="AV23" s="1109">
        <f t="shared" si="43"/>
        <v>0</v>
      </c>
      <c r="AW23" s="1109">
        <f t="shared" si="44"/>
        <v>0</v>
      </c>
      <c r="AX23" s="1109">
        <f t="shared" si="45"/>
        <v>0</v>
      </c>
      <c r="AY23" s="1110">
        <f t="shared" si="46"/>
        <v>0</v>
      </c>
    </row>
    <row r="24" spans="1:52">
      <c r="A24" s="2679" t="s">
        <v>1395</v>
      </c>
      <c r="B24" s="2685" t="s">
        <v>1222</v>
      </c>
      <c r="C24" s="2562">
        <v>254</v>
      </c>
      <c r="D24" s="2563">
        <v>288</v>
      </c>
      <c r="E24" s="2563">
        <v>400</v>
      </c>
      <c r="F24" s="2563">
        <v>408</v>
      </c>
      <c r="G24" s="2563">
        <v>408</v>
      </c>
      <c r="H24" s="2563">
        <v>408</v>
      </c>
      <c r="I24" s="2564">
        <v>429</v>
      </c>
      <c r="J24" s="2562">
        <v>3</v>
      </c>
      <c r="K24" s="2563">
        <v>4</v>
      </c>
      <c r="L24" s="2563">
        <v>5</v>
      </c>
      <c r="M24" s="2563">
        <v>5</v>
      </c>
      <c r="N24" s="2563">
        <v>9</v>
      </c>
      <c r="O24" s="2563">
        <v>9</v>
      </c>
      <c r="P24" s="2564">
        <v>10</v>
      </c>
      <c r="Q24" s="2562">
        <v>18</v>
      </c>
      <c r="R24" s="2563">
        <v>18</v>
      </c>
      <c r="S24" s="2563">
        <v>26</v>
      </c>
      <c r="T24" s="2563">
        <v>29</v>
      </c>
      <c r="U24" s="2563">
        <v>35</v>
      </c>
      <c r="V24" s="2563">
        <v>46</v>
      </c>
      <c r="W24" s="2564">
        <v>46</v>
      </c>
      <c r="X24" s="2562">
        <v>4</v>
      </c>
      <c r="Y24" s="2563">
        <v>5</v>
      </c>
      <c r="Z24" s="2563">
        <v>7</v>
      </c>
      <c r="AA24" s="2563">
        <v>7</v>
      </c>
      <c r="AB24" s="2563">
        <v>8</v>
      </c>
      <c r="AC24" s="2563">
        <v>8</v>
      </c>
      <c r="AD24" s="2564">
        <v>8</v>
      </c>
      <c r="AE24" s="2562">
        <v>0</v>
      </c>
      <c r="AF24" s="2563">
        <v>0</v>
      </c>
      <c r="AG24" s="2563">
        <v>0</v>
      </c>
      <c r="AH24" s="2563">
        <v>0</v>
      </c>
      <c r="AI24" s="2563">
        <v>0</v>
      </c>
      <c r="AJ24" s="2563">
        <v>0</v>
      </c>
      <c r="AK24" s="2564">
        <v>0</v>
      </c>
      <c r="AL24" s="2562">
        <v>1</v>
      </c>
      <c r="AM24" s="2563">
        <v>1</v>
      </c>
      <c r="AN24" s="2563">
        <v>1</v>
      </c>
      <c r="AO24" s="2563">
        <v>1</v>
      </c>
      <c r="AP24" s="2563">
        <v>1</v>
      </c>
      <c r="AQ24" s="2563">
        <v>1</v>
      </c>
      <c r="AR24" s="2564">
        <v>1</v>
      </c>
      <c r="AS24" s="1108">
        <f>C24+J24+Q24+X24+AE24+AL24</f>
        <v>280</v>
      </c>
      <c r="AT24" s="1109">
        <f t="shared" si="41"/>
        <v>316</v>
      </c>
      <c r="AU24" s="1109">
        <f t="shared" si="42"/>
        <v>439</v>
      </c>
      <c r="AV24" s="1109">
        <f t="shared" si="43"/>
        <v>450</v>
      </c>
      <c r="AW24" s="1109">
        <f t="shared" si="44"/>
        <v>461</v>
      </c>
      <c r="AX24" s="1109">
        <f t="shared" si="45"/>
        <v>472</v>
      </c>
      <c r="AY24" s="1110">
        <f t="shared" si="46"/>
        <v>494</v>
      </c>
    </row>
    <row r="25" spans="1:52" ht="24">
      <c r="A25" s="2679" t="s">
        <v>1396</v>
      </c>
      <c r="B25" s="2685" t="s">
        <v>1223</v>
      </c>
      <c r="C25" s="2562">
        <v>763</v>
      </c>
      <c r="D25" s="2563">
        <v>863</v>
      </c>
      <c r="E25" s="2563">
        <v>1158</v>
      </c>
      <c r="F25" s="2563">
        <v>1200</v>
      </c>
      <c r="G25" s="2563">
        <v>1200</v>
      </c>
      <c r="H25" s="2563">
        <v>1200</v>
      </c>
      <c r="I25" s="2564">
        <v>1352</v>
      </c>
      <c r="J25" s="2562">
        <v>118</v>
      </c>
      <c r="K25" s="2563">
        <v>126</v>
      </c>
      <c r="L25" s="2563">
        <v>124</v>
      </c>
      <c r="M25" s="2563">
        <v>124</v>
      </c>
      <c r="N25" s="2563">
        <v>132</v>
      </c>
      <c r="O25" s="2563">
        <v>132</v>
      </c>
      <c r="P25" s="2564">
        <v>125</v>
      </c>
      <c r="Q25" s="2562">
        <v>61</v>
      </c>
      <c r="R25" s="2563">
        <v>61</v>
      </c>
      <c r="S25" s="2563">
        <v>137</v>
      </c>
      <c r="T25" s="2563">
        <v>154</v>
      </c>
      <c r="U25" s="2563">
        <v>174</v>
      </c>
      <c r="V25" s="2563">
        <v>222</v>
      </c>
      <c r="W25" s="2564">
        <v>222</v>
      </c>
      <c r="X25" s="2562">
        <v>25</v>
      </c>
      <c r="Y25" s="2563">
        <v>32</v>
      </c>
      <c r="Z25" s="2563">
        <v>24</v>
      </c>
      <c r="AA25" s="2563">
        <v>24</v>
      </c>
      <c r="AB25" s="2563">
        <v>23</v>
      </c>
      <c r="AC25" s="2563">
        <v>23</v>
      </c>
      <c r="AD25" s="2564">
        <v>23</v>
      </c>
      <c r="AE25" s="2562">
        <v>0</v>
      </c>
      <c r="AF25" s="2563">
        <v>0</v>
      </c>
      <c r="AG25" s="2563">
        <v>0</v>
      </c>
      <c r="AH25" s="2563">
        <v>0</v>
      </c>
      <c r="AI25" s="2563">
        <v>0</v>
      </c>
      <c r="AJ25" s="2563">
        <v>0</v>
      </c>
      <c r="AK25" s="2564">
        <v>0</v>
      </c>
      <c r="AL25" s="2562">
        <v>4</v>
      </c>
      <c r="AM25" s="2563">
        <v>2</v>
      </c>
      <c r="AN25" s="2563">
        <v>6</v>
      </c>
      <c r="AO25" s="2563">
        <v>6</v>
      </c>
      <c r="AP25" s="2563">
        <v>6</v>
      </c>
      <c r="AQ25" s="2563">
        <v>6</v>
      </c>
      <c r="AR25" s="2564">
        <v>6</v>
      </c>
      <c r="AS25" s="1108">
        <f t="shared" si="40"/>
        <v>971</v>
      </c>
      <c r="AT25" s="1109">
        <f t="shared" si="41"/>
        <v>1084</v>
      </c>
      <c r="AU25" s="1109">
        <f t="shared" si="42"/>
        <v>1449</v>
      </c>
      <c r="AV25" s="1109">
        <f t="shared" si="43"/>
        <v>1508</v>
      </c>
      <c r="AW25" s="1109">
        <f t="shared" si="44"/>
        <v>1535</v>
      </c>
      <c r="AX25" s="1109">
        <f t="shared" si="45"/>
        <v>1583</v>
      </c>
      <c r="AY25" s="1110">
        <f t="shared" si="46"/>
        <v>1728</v>
      </c>
    </row>
    <row r="26" spans="1:52" ht="21" customHeight="1">
      <c r="A26" s="2679" t="s">
        <v>1397</v>
      </c>
      <c r="B26" s="2685" t="s">
        <v>1224</v>
      </c>
      <c r="C26" s="2562">
        <v>95</v>
      </c>
      <c r="D26" s="2563">
        <v>108</v>
      </c>
      <c r="E26" s="2563">
        <v>151</v>
      </c>
      <c r="F26" s="2563">
        <v>172</v>
      </c>
      <c r="G26" s="2563">
        <v>172</v>
      </c>
      <c r="H26" s="2563">
        <v>172</v>
      </c>
      <c r="I26" s="2564">
        <v>198</v>
      </c>
      <c r="J26" s="2562">
        <v>2</v>
      </c>
      <c r="K26" s="2563">
        <v>2</v>
      </c>
      <c r="L26" s="2563">
        <v>3</v>
      </c>
      <c r="M26" s="2563">
        <v>3</v>
      </c>
      <c r="N26" s="2563">
        <v>4</v>
      </c>
      <c r="O26" s="2563">
        <v>4</v>
      </c>
      <c r="P26" s="2564">
        <v>5</v>
      </c>
      <c r="Q26" s="2562">
        <v>1</v>
      </c>
      <c r="R26" s="2563">
        <v>1</v>
      </c>
      <c r="S26" s="2563">
        <v>14</v>
      </c>
      <c r="T26" s="2563">
        <v>16</v>
      </c>
      <c r="U26" s="2563">
        <v>18</v>
      </c>
      <c r="V26" s="2563">
        <v>24</v>
      </c>
      <c r="W26" s="2564">
        <v>24</v>
      </c>
      <c r="X26" s="2562">
        <v>1</v>
      </c>
      <c r="Y26" s="2563">
        <v>1</v>
      </c>
      <c r="Z26" s="2563">
        <v>2</v>
      </c>
      <c r="AA26" s="2563">
        <v>2</v>
      </c>
      <c r="AB26" s="2563">
        <v>3</v>
      </c>
      <c r="AC26" s="2563">
        <v>3</v>
      </c>
      <c r="AD26" s="2564">
        <v>3</v>
      </c>
      <c r="AE26" s="2562">
        <v>0</v>
      </c>
      <c r="AF26" s="2563">
        <v>0</v>
      </c>
      <c r="AG26" s="2563">
        <v>0</v>
      </c>
      <c r="AH26" s="2563">
        <v>0</v>
      </c>
      <c r="AI26" s="2563">
        <v>0</v>
      </c>
      <c r="AJ26" s="2563">
        <v>0</v>
      </c>
      <c r="AK26" s="2564">
        <v>0</v>
      </c>
      <c r="AL26" s="2562">
        <v>1</v>
      </c>
      <c r="AM26" s="2563">
        <v>1</v>
      </c>
      <c r="AN26" s="2563">
        <v>1</v>
      </c>
      <c r="AO26" s="2563">
        <v>1</v>
      </c>
      <c r="AP26" s="2563">
        <v>1</v>
      </c>
      <c r="AQ26" s="2563">
        <v>1</v>
      </c>
      <c r="AR26" s="2564">
        <v>1</v>
      </c>
      <c r="AS26" s="1108">
        <f t="shared" si="40"/>
        <v>100</v>
      </c>
      <c r="AT26" s="1109">
        <f t="shared" si="41"/>
        <v>113</v>
      </c>
      <c r="AU26" s="1109">
        <f t="shared" si="42"/>
        <v>171</v>
      </c>
      <c r="AV26" s="1109">
        <f t="shared" si="43"/>
        <v>194</v>
      </c>
      <c r="AW26" s="1109">
        <f t="shared" si="44"/>
        <v>198</v>
      </c>
      <c r="AX26" s="1109">
        <f t="shared" si="45"/>
        <v>204</v>
      </c>
      <c r="AY26" s="1110">
        <f t="shared" si="46"/>
        <v>231</v>
      </c>
    </row>
    <row r="27" spans="1:52" ht="21" customHeight="1">
      <c r="A27" s="2679" t="s">
        <v>1398</v>
      </c>
      <c r="B27" s="2685" t="s">
        <v>1225</v>
      </c>
      <c r="C27" s="2562">
        <v>567</v>
      </c>
      <c r="D27" s="2563">
        <v>689</v>
      </c>
      <c r="E27" s="2563">
        <v>893</v>
      </c>
      <c r="F27" s="2563">
        <v>925</v>
      </c>
      <c r="G27" s="2563">
        <v>925</v>
      </c>
      <c r="H27" s="2563">
        <v>925</v>
      </c>
      <c r="I27" s="2564">
        <v>1029</v>
      </c>
      <c r="J27" s="2562">
        <v>99</v>
      </c>
      <c r="K27" s="2563">
        <v>80</v>
      </c>
      <c r="L27" s="2563">
        <v>68</v>
      </c>
      <c r="M27" s="2563">
        <v>68</v>
      </c>
      <c r="N27" s="2563">
        <v>74</v>
      </c>
      <c r="O27" s="2563">
        <v>74</v>
      </c>
      <c r="P27" s="2564">
        <v>79</v>
      </c>
      <c r="Q27" s="2562">
        <v>46</v>
      </c>
      <c r="R27" s="2563">
        <v>44</v>
      </c>
      <c r="S27" s="2563">
        <v>92</v>
      </c>
      <c r="T27" s="2563">
        <v>103</v>
      </c>
      <c r="U27" s="2563">
        <v>116</v>
      </c>
      <c r="V27" s="2563">
        <v>132</v>
      </c>
      <c r="W27" s="2564">
        <v>132</v>
      </c>
      <c r="X27" s="2562">
        <v>17</v>
      </c>
      <c r="Y27" s="2563">
        <v>21</v>
      </c>
      <c r="Z27" s="2563">
        <v>23</v>
      </c>
      <c r="AA27" s="2563">
        <v>23</v>
      </c>
      <c r="AB27" s="2563">
        <v>23</v>
      </c>
      <c r="AC27" s="2563">
        <v>24</v>
      </c>
      <c r="AD27" s="2564">
        <v>24</v>
      </c>
      <c r="AE27" s="2562">
        <v>0</v>
      </c>
      <c r="AF27" s="2563">
        <v>1</v>
      </c>
      <c r="AG27" s="2563">
        <v>0.72</v>
      </c>
      <c r="AH27" s="2563">
        <v>0.72</v>
      </c>
      <c r="AI27" s="2563">
        <v>0.72</v>
      </c>
      <c r="AJ27" s="2563">
        <v>0.72</v>
      </c>
      <c r="AK27" s="2564">
        <v>0.72</v>
      </c>
      <c r="AL27" s="2562">
        <v>3</v>
      </c>
      <c r="AM27" s="2563">
        <v>3</v>
      </c>
      <c r="AN27" s="2563">
        <v>3</v>
      </c>
      <c r="AO27" s="2563">
        <v>3</v>
      </c>
      <c r="AP27" s="2563">
        <v>3</v>
      </c>
      <c r="AQ27" s="2563">
        <v>3</v>
      </c>
      <c r="AR27" s="2564">
        <v>3</v>
      </c>
      <c r="AS27" s="1108">
        <f t="shared" si="40"/>
        <v>732</v>
      </c>
      <c r="AT27" s="1109">
        <f t="shared" si="41"/>
        <v>838</v>
      </c>
      <c r="AU27" s="1109">
        <f t="shared" si="42"/>
        <v>1079.72</v>
      </c>
      <c r="AV27" s="1109">
        <f t="shared" si="43"/>
        <v>1122.72</v>
      </c>
      <c r="AW27" s="1109">
        <f t="shared" si="44"/>
        <v>1141.72</v>
      </c>
      <c r="AX27" s="1109">
        <f t="shared" si="45"/>
        <v>1158.72</v>
      </c>
      <c r="AY27" s="1110">
        <f t="shared" si="46"/>
        <v>1267.72</v>
      </c>
    </row>
    <row r="28" spans="1:52" ht="21" customHeight="1" thickBot="1">
      <c r="A28" s="2681" t="s">
        <v>1399</v>
      </c>
      <c r="B28" s="2686" t="s">
        <v>1226</v>
      </c>
      <c r="C28" s="2565">
        <v>216</v>
      </c>
      <c r="D28" s="2566">
        <v>360</v>
      </c>
      <c r="E28" s="2566">
        <v>397</v>
      </c>
      <c r="F28" s="2566">
        <v>411</v>
      </c>
      <c r="G28" s="2566">
        <v>411</v>
      </c>
      <c r="H28" s="2566">
        <v>411</v>
      </c>
      <c r="I28" s="2567">
        <v>457</v>
      </c>
      <c r="J28" s="2565">
        <v>15</v>
      </c>
      <c r="K28" s="2566">
        <v>37</v>
      </c>
      <c r="L28" s="2566">
        <v>30</v>
      </c>
      <c r="M28" s="2566">
        <v>30</v>
      </c>
      <c r="N28" s="2566">
        <v>33</v>
      </c>
      <c r="O28" s="2566">
        <v>33</v>
      </c>
      <c r="P28" s="2567">
        <v>35</v>
      </c>
      <c r="Q28" s="2565">
        <v>14</v>
      </c>
      <c r="R28" s="2566">
        <v>23</v>
      </c>
      <c r="S28" s="2566">
        <v>41</v>
      </c>
      <c r="T28" s="2566">
        <v>46</v>
      </c>
      <c r="U28" s="2566">
        <v>52</v>
      </c>
      <c r="V28" s="2566">
        <v>58</v>
      </c>
      <c r="W28" s="2567">
        <v>58</v>
      </c>
      <c r="X28" s="2565">
        <v>6</v>
      </c>
      <c r="Y28" s="2566">
        <v>11</v>
      </c>
      <c r="Z28" s="2566">
        <v>10</v>
      </c>
      <c r="AA28" s="2566">
        <v>10</v>
      </c>
      <c r="AB28" s="2566">
        <v>10</v>
      </c>
      <c r="AC28" s="2566">
        <v>10</v>
      </c>
      <c r="AD28" s="2567">
        <v>11</v>
      </c>
      <c r="AE28" s="2565">
        <v>0</v>
      </c>
      <c r="AF28" s="2566">
        <v>0.32</v>
      </c>
      <c r="AG28" s="2566">
        <v>0.32</v>
      </c>
      <c r="AH28" s="2566">
        <v>0.32</v>
      </c>
      <c r="AI28" s="2566">
        <v>0.32</v>
      </c>
      <c r="AJ28" s="2566">
        <v>0.32</v>
      </c>
      <c r="AK28" s="2567">
        <v>0.32</v>
      </c>
      <c r="AL28" s="2565">
        <v>2</v>
      </c>
      <c r="AM28" s="2566">
        <v>2</v>
      </c>
      <c r="AN28" s="2566">
        <v>2</v>
      </c>
      <c r="AO28" s="2566">
        <v>2</v>
      </c>
      <c r="AP28" s="2566">
        <v>2</v>
      </c>
      <c r="AQ28" s="2566">
        <v>2</v>
      </c>
      <c r="AR28" s="2567">
        <v>2</v>
      </c>
      <c r="AS28" s="1409">
        <f t="shared" si="40"/>
        <v>253</v>
      </c>
      <c r="AT28" s="1111">
        <f t="shared" si="41"/>
        <v>433.32</v>
      </c>
      <c r="AU28" s="1111">
        <f t="shared" si="42"/>
        <v>480.32</v>
      </c>
      <c r="AV28" s="1111">
        <f t="shared" si="43"/>
        <v>499.32</v>
      </c>
      <c r="AW28" s="1111">
        <f t="shared" si="44"/>
        <v>508.32</v>
      </c>
      <c r="AX28" s="1111">
        <f t="shared" si="45"/>
        <v>514.32000000000005</v>
      </c>
      <c r="AY28" s="1112">
        <f t="shared" si="46"/>
        <v>563.32000000000005</v>
      </c>
    </row>
    <row r="29" spans="1:52" ht="18" customHeight="1">
      <c r="A29" s="2687" t="s">
        <v>113</v>
      </c>
      <c r="B29" s="2688" t="s">
        <v>1218</v>
      </c>
      <c r="C29" s="1414">
        <f t="shared" ref="C29:AD29" si="47">C15+C18</f>
        <v>3178</v>
      </c>
      <c r="D29" s="1415">
        <f t="shared" si="47"/>
        <v>3598</v>
      </c>
      <c r="E29" s="1415">
        <f t="shared" si="47"/>
        <v>5055</v>
      </c>
      <c r="F29" s="1415">
        <f t="shared" si="47"/>
        <v>5239</v>
      </c>
      <c r="G29" s="1415">
        <f t="shared" si="47"/>
        <v>5239</v>
      </c>
      <c r="H29" s="1415">
        <f t="shared" si="47"/>
        <v>5239</v>
      </c>
      <c r="I29" s="1416">
        <f t="shared" si="47"/>
        <v>5816</v>
      </c>
      <c r="J29" s="1414">
        <f>J15+J18</f>
        <v>351</v>
      </c>
      <c r="K29" s="1415">
        <f t="shared" si="47"/>
        <v>370</v>
      </c>
      <c r="L29" s="1415">
        <f t="shared" si="47"/>
        <v>377</v>
      </c>
      <c r="M29" s="1415">
        <f t="shared" si="47"/>
        <v>377</v>
      </c>
      <c r="N29" s="1415">
        <f t="shared" si="47"/>
        <v>409</v>
      </c>
      <c r="O29" s="1415">
        <f t="shared" si="47"/>
        <v>414</v>
      </c>
      <c r="P29" s="1416">
        <f t="shared" si="47"/>
        <v>441</v>
      </c>
      <c r="Q29" s="1414">
        <f t="shared" si="47"/>
        <v>227</v>
      </c>
      <c r="R29" s="1415">
        <f t="shared" si="47"/>
        <v>229</v>
      </c>
      <c r="S29" s="1415">
        <f t="shared" si="47"/>
        <v>510</v>
      </c>
      <c r="T29" s="1415">
        <f t="shared" si="47"/>
        <v>570</v>
      </c>
      <c r="U29" s="1415">
        <f t="shared" si="47"/>
        <v>645</v>
      </c>
      <c r="V29" s="1415">
        <f t="shared" si="47"/>
        <v>731</v>
      </c>
      <c r="W29" s="1416">
        <f t="shared" si="47"/>
        <v>731</v>
      </c>
      <c r="X29" s="1414">
        <f t="shared" si="47"/>
        <v>83</v>
      </c>
      <c r="Y29" s="1415">
        <f t="shared" si="47"/>
        <v>138</v>
      </c>
      <c r="Z29" s="1415">
        <f t="shared" si="47"/>
        <v>128</v>
      </c>
      <c r="AA29" s="1415">
        <f t="shared" si="47"/>
        <v>130</v>
      </c>
      <c r="AB29" s="1415">
        <f t="shared" si="47"/>
        <v>130</v>
      </c>
      <c r="AC29" s="1415">
        <f t="shared" si="47"/>
        <v>131</v>
      </c>
      <c r="AD29" s="1416">
        <f t="shared" si="47"/>
        <v>132</v>
      </c>
      <c r="AE29" s="1414">
        <f t="shared" ref="AE29:AR29" si="48">AE15+AE18</f>
        <v>0</v>
      </c>
      <c r="AF29" s="1415">
        <f t="shared" si="48"/>
        <v>0</v>
      </c>
      <c r="AG29" s="1415">
        <f t="shared" si="48"/>
        <v>0</v>
      </c>
      <c r="AH29" s="1415">
        <f t="shared" si="48"/>
        <v>0</v>
      </c>
      <c r="AI29" s="1415">
        <f t="shared" si="48"/>
        <v>0</v>
      </c>
      <c r="AJ29" s="1415">
        <f t="shared" si="48"/>
        <v>0</v>
      </c>
      <c r="AK29" s="1416">
        <f t="shared" si="48"/>
        <v>0</v>
      </c>
      <c r="AL29" s="1414">
        <f t="shared" si="48"/>
        <v>0</v>
      </c>
      <c r="AM29" s="1415">
        <f t="shared" si="48"/>
        <v>0</v>
      </c>
      <c r="AN29" s="1415">
        <f t="shared" si="48"/>
        <v>0</v>
      </c>
      <c r="AO29" s="1415">
        <f t="shared" si="48"/>
        <v>0</v>
      </c>
      <c r="AP29" s="1415">
        <f t="shared" si="48"/>
        <v>0</v>
      </c>
      <c r="AQ29" s="1415">
        <f t="shared" si="48"/>
        <v>0</v>
      </c>
      <c r="AR29" s="1416">
        <f t="shared" si="48"/>
        <v>0</v>
      </c>
      <c r="AS29" s="1417">
        <f t="shared" ref="AS29:AS31" si="49">C29+J29+Q29+X29+AE29+AL29</f>
        <v>3839</v>
      </c>
      <c r="AT29" s="1113">
        <f t="shared" ref="AT29:AT31" si="50">D29+K29+R29+Y29+AF29+AM29</f>
        <v>4335</v>
      </c>
      <c r="AU29" s="1113">
        <f t="shared" ref="AU29:AU31" si="51">E29+L29+S29+Z29+AG29+AN29</f>
        <v>6070</v>
      </c>
      <c r="AV29" s="1113">
        <f t="shared" ref="AV29:AV31" si="52">F29+M29+T29+AA29+AH29+AO29</f>
        <v>6316</v>
      </c>
      <c r="AW29" s="1113">
        <f t="shared" ref="AW29:AW31" si="53">G29+N29+U29+AB29+AI29+AP29</f>
        <v>6423</v>
      </c>
      <c r="AX29" s="1113">
        <f t="shared" ref="AX29:AX31" si="54">H29+O29+V29+AC29+AJ29+AQ29</f>
        <v>6515</v>
      </c>
      <c r="AY29" s="1114">
        <f t="shared" ref="AY29:AY31" si="55">I29+P29+W29+AD29+AK29+AR29</f>
        <v>7120</v>
      </c>
    </row>
    <row r="30" spans="1:52" ht="18" customHeight="1">
      <c r="A30" s="2679" t="s">
        <v>115</v>
      </c>
      <c r="B30" s="2685" t="s">
        <v>861</v>
      </c>
      <c r="C30" s="1398">
        <f>C16+C19</f>
        <v>567</v>
      </c>
      <c r="D30" s="1115">
        <f t="shared" ref="D30:AD30" si="56">D16+D19</f>
        <v>689</v>
      </c>
      <c r="E30" s="1115">
        <f t="shared" si="56"/>
        <v>911</v>
      </c>
      <c r="F30" s="1115">
        <f t="shared" si="56"/>
        <v>913</v>
      </c>
      <c r="G30" s="1115">
        <f t="shared" si="56"/>
        <v>943</v>
      </c>
      <c r="H30" s="1115">
        <f t="shared" si="56"/>
        <v>943</v>
      </c>
      <c r="I30" s="1399">
        <f t="shared" si="56"/>
        <v>1047</v>
      </c>
      <c r="J30" s="1398">
        <f t="shared" si="56"/>
        <v>99</v>
      </c>
      <c r="K30" s="1115">
        <f t="shared" si="56"/>
        <v>80</v>
      </c>
      <c r="L30" s="1115">
        <f t="shared" si="56"/>
        <v>68</v>
      </c>
      <c r="M30" s="1115">
        <f t="shared" si="56"/>
        <v>68</v>
      </c>
      <c r="N30" s="1115">
        <f t="shared" si="56"/>
        <v>74</v>
      </c>
      <c r="O30" s="1115">
        <f t="shared" si="56"/>
        <v>74</v>
      </c>
      <c r="P30" s="1399">
        <f t="shared" si="56"/>
        <v>79</v>
      </c>
      <c r="Q30" s="1398">
        <f t="shared" si="56"/>
        <v>46</v>
      </c>
      <c r="R30" s="1115">
        <f t="shared" si="56"/>
        <v>44</v>
      </c>
      <c r="S30" s="1115">
        <f t="shared" si="56"/>
        <v>92</v>
      </c>
      <c r="T30" s="1115">
        <f t="shared" si="56"/>
        <v>103</v>
      </c>
      <c r="U30" s="1115">
        <f t="shared" si="56"/>
        <v>116</v>
      </c>
      <c r="V30" s="1115">
        <f t="shared" si="56"/>
        <v>132</v>
      </c>
      <c r="W30" s="1399">
        <f t="shared" si="56"/>
        <v>132</v>
      </c>
      <c r="X30" s="1398">
        <f t="shared" si="56"/>
        <v>17</v>
      </c>
      <c r="Y30" s="1115">
        <f t="shared" si="56"/>
        <v>21</v>
      </c>
      <c r="Z30" s="1115">
        <f t="shared" si="56"/>
        <v>23</v>
      </c>
      <c r="AA30" s="1115">
        <f t="shared" si="56"/>
        <v>23</v>
      </c>
      <c r="AB30" s="1115">
        <f t="shared" si="56"/>
        <v>23</v>
      </c>
      <c r="AC30" s="1115">
        <f t="shared" si="56"/>
        <v>24</v>
      </c>
      <c r="AD30" s="1399">
        <f t="shared" si="56"/>
        <v>24</v>
      </c>
      <c r="AE30" s="1398">
        <f t="shared" ref="AE30:AR30" si="57">AE16+AE19</f>
        <v>0</v>
      </c>
      <c r="AF30" s="1115">
        <f>AF16+AF19</f>
        <v>0</v>
      </c>
      <c r="AG30" s="1115">
        <f t="shared" si="57"/>
        <v>0</v>
      </c>
      <c r="AH30" s="1115">
        <f t="shared" si="57"/>
        <v>0</v>
      </c>
      <c r="AI30" s="1115">
        <f t="shared" si="57"/>
        <v>0</v>
      </c>
      <c r="AJ30" s="1115">
        <f t="shared" si="57"/>
        <v>0</v>
      </c>
      <c r="AK30" s="1399">
        <f t="shared" si="57"/>
        <v>0</v>
      </c>
      <c r="AL30" s="1398">
        <f t="shared" si="57"/>
        <v>0</v>
      </c>
      <c r="AM30" s="1115">
        <f t="shared" si="57"/>
        <v>0</v>
      </c>
      <c r="AN30" s="1115">
        <f t="shared" si="57"/>
        <v>0</v>
      </c>
      <c r="AO30" s="1115">
        <f t="shared" si="57"/>
        <v>0</v>
      </c>
      <c r="AP30" s="1115">
        <f t="shared" si="57"/>
        <v>0</v>
      </c>
      <c r="AQ30" s="1115">
        <f t="shared" si="57"/>
        <v>0</v>
      </c>
      <c r="AR30" s="1399">
        <f t="shared" si="57"/>
        <v>0</v>
      </c>
      <c r="AS30" s="1393">
        <f t="shared" si="49"/>
        <v>729</v>
      </c>
      <c r="AT30" s="1116">
        <f t="shared" si="50"/>
        <v>834</v>
      </c>
      <c r="AU30" s="1116">
        <f t="shared" si="51"/>
        <v>1094</v>
      </c>
      <c r="AV30" s="1116">
        <f t="shared" si="52"/>
        <v>1107</v>
      </c>
      <c r="AW30" s="1116">
        <f t="shared" si="53"/>
        <v>1156</v>
      </c>
      <c r="AX30" s="1116">
        <f t="shared" si="54"/>
        <v>1173</v>
      </c>
      <c r="AY30" s="1117">
        <f t="shared" si="55"/>
        <v>1282</v>
      </c>
    </row>
    <row r="31" spans="1:52" ht="18" customHeight="1" thickBot="1">
      <c r="A31" s="2681" t="s">
        <v>116</v>
      </c>
      <c r="B31" s="2686" t="s">
        <v>982</v>
      </c>
      <c r="C31" s="1418">
        <f t="shared" ref="C31:AD31" si="58">C17+C20</f>
        <v>216</v>
      </c>
      <c r="D31" s="1118">
        <f t="shared" si="58"/>
        <v>360</v>
      </c>
      <c r="E31" s="1118">
        <f t="shared" si="58"/>
        <v>405</v>
      </c>
      <c r="F31" s="1118">
        <f t="shared" si="58"/>
        <v>419</v>
      </c>
      <c r="G31" s="1118">
        <f t="shared" si="58"/>
        <v>419</v>
      </c>
      <c r="H31" s="1118">
        <f t="shared" si="58"/>
        <v>419</v>
      </c>
      <c r="I31" s="1419">
        <f t="shared" si="58"/>
        <v>465</v>
      </c>
      <c r="J31" s="1418">
        <f t="shared" si="58"/>
        <v>15</v>
      </c>
      <c r="K31" s="1118">
        <f t="shared" si="58"/>
        <v>37</v>
      </c>
      <c r="L31" s="1118">
        <f t="shared" si="58"/>
        <v>30</v>
      </c>
      <c r="M31" s="1118">
        <f t="shared" si="58"/>
        <v>30</v>
      </c>
      <c r="N31" s="1118">
        <f t="shared" si="58"/>
        <v>33</v>
      </c>
      <c r="O31" s="1118">
        <f t="shared" si="58"/>
        <v>33</v>
      </c>
      <c r="P31" s="1419">
        <f t="shared" si="58"/>
        <v>35</v>
      </c>
      <c r="Q31" s="1418">
        <f t="shared" si="58"/>
        <v>14</v>
      </c>
      <c r="R31" s="1118">
        <f t="shared" si="58"/>
        <v>23</v>
      </c>
      <c r="S31" s="1118">
        <f t="shared" si="58"/>
        <v>41</v>
      </c>
      <c r="T31" s="1118">
        <f t="shared" si="58"/>
        <v>46</v>
      </c>
      <c r="U31" s="1118">
        <f t="shared" si="58"/>
        <v>52</v>
      </c>
      <c r="V31" s="1118">
        <f t="shared" si="58"/>
        <v>58</v>
      </c>
      <c r="W31" s="1419">
        <f t="shared" si="58"/>
        <v>58</v>
      </c>
      <c r="X31" s="1418">
        <f t="shared" si="58"/>
        <v>6</v>
      </c>
      <c r="Y31" s="1118">
        <f t="shared" si="58"/>
        <v>11</v>
      </c>
      <c r="Z31" s="1118">
        <f t="shared" si="58"/>
        <v>10</v>
      </c>
      <c r="AA31" s="1118">
        <f t="shared" si="58"/>
        <v>10</v>
      </c>
      <c r="AB31" s="1118">
        <f t="shared" si="58"/>
        <v>10</v>
      </c>
      <c r="AC31" s="1118">
        <f t="shared" si="58"/>
        <v>10</v>
      </c>
      <c r="AD31" s="1419">
        <f t="shared" si="58"/>
        <v>11</v>
      </c>
      <c r="AE31" s="1418">
        <f>AE17+AE20</f>
        <v>0</v>
      </c>
      <c r="AF31" s="1118">
        <f t="shared" ref="AF31:AR31" si="59">AF17+AF20</f>
        <v>0</v>
      </c>
      <c r="AG31" s="1118">
        <f t="shared" si="59"/>
        <v>0</v>
      </c>
      <c r="AH31" s="1118">
        <f t="shared" si="59"/>
        <v>0</v>
      </c>
      <c r="AI31" s="1118">
        <f t="shared" si="59"/>
        <v>0</v>
      </c>
      <c r="AJ31" s="1118">
        <f t="shared" si="59"/>
        <v>0</v>
      </c>
      <c r="AK31" s="1419">
        <f t="shared" si="59"/>
        <v>0</v>
      </c>
      <c r="AL31" s="1418">
        <f t="shared" si="59"/>
        <v>0</v>
      </c>
      <c r="AM31" s="1118">
        <f t="shared" si="59"/>
        <v>0</v>
      </c>
      <c r="AN31" s="1118">
        <f t="shared" si="59"/>
        <v>0</v>
      </c>
      <c r="AO31" s="1118">
        <f t="shared" si="59"/>
        <v>0</v>
      </c>
      <c r="AP31" s="1118">
        <f t="shared" si="59"/>
        <v>0</v>
      </c>
      <c r="AQ31" s="1118">
        <f t="shared" si="59"/>
        <v>0</v>
      </c>
      <c r="AR31" s="1419">
        <f t="shared" si="59"/>
        <v>0</v>
      </c>
      <c r="AS31" s="1405">
        <f t="shared" si="49"/>
        <v>251</v>
      </c>
      <c r="AT31" s="1119">
        <f t="shared" si="50"/>
        <v>431</v>
      </c>
      <c r="AU31" s="1119">
        <f t="shared" si="51"/>
        <v>486</v>
      </c>
      <c r="AV31" s="1119">
        <f t="shared" si="52"/>
        <v>505</v>
      </c>
      <c r="AW31" s="1119">
        <f t="shared" si="53"/>
        <v>514</v>
      </c>
      <c r="AX31" s="1119">
        <f t="shared" si="54"/>
        <v>520</v>
      </c>
      <c r="AY31" s="1120">
        <f t="shared" si="55"/>
        <v>569</v>
      </c>
    </row>
    <row r="32" spans="1:52" s="1584" customFormat="1" ht="24">
      <c r="A32" s="2689" t="s">
        <v>119</v>
      </c>
      <c r="B32" s="1410" t="s">
        <v>862</v>
      </c>
      <c r="C32" s="1411">
        <f t="shared" ref="C32:AY32" si="60">IFERROR(C29/C14,0)</f>
        <v>7.4252336448598131</v>
      </c>
      <c r="D32" s="1412">
        <f t="shared" si="60"/>
        <v>8.4065420560747661</v>
      </c>
      <c r="E32" s="1412">
        <f t="shared" si="60"/>
        <v>11.620689655172415</v>
      </c>
      <c r="F32" s="1412">
        <f t="shared" si="60"/>
        <v>11.642222222222221</v>
      </c>
      <c r="G32" s="1412">
        <f t="shared" si="60"/>
        <v>11.642222222222221</v>
      </c>
      <c r="H32" s="1412">
        <f t="shared" si="60"/>
        <v>11.642222222222221</v>
      </c>
      <c r="I32" s="1413">
        <f t="shared" si="60"/>
        <v>12.50752688172043</v>
      </c>
      <c r="J32" s="1411">
        <f t="shared" si="60"/>
        <v>12.535714285714286</v>
      </c>
      <c r="K32" s="1412">
        <f t="shared" si="60"/>
        <v>13.214285714285714</v>
      </c>
      <c r="L32" s="1412">
        <f t="shared" si="60"/>
        <v>12.566666666666666</v>
      </c>
      <c r="M32" s="1412">
        <f t="shared" si="60"/>
        <v>12.566666666666666</v>
      </c>
      <c r="N32" s="1412">
        <f t="shared" si="60"/>
        <v>12.78125</v>
      </c>
      <c r="O32" s="1412">
        <f t="shared" si="60"/>
        <v>12.545454545454545</v>
      </c>
      <c r="P32" s="1413">
        <f t="shared" si="60"/>
        <v>12.6</v>
      </c>
      <c r="Q32" s="1411">
        <f t="shared" si="60"/>
        <v>7.8275862068965516</v>
      </c>
      <c r="R32" s="1412">
        <f t="shared" si="60"/>
        <v>7.8965517241379306</v>
      </c>
      <c r="S32" s="1412">
        <f t="shared" si="60"/>
        <v>10.199999999999999</v>
      </c>
      <c r="T32" s="1412">
        <f t="shared" si="60"/>
        <v>11.4</v>
      </c>
      <c r="U32" s="1412">
        <f t="shared" si="60"/>
        <v>11.727272727272727</v>
      </c>
      <c r="V32" s="1412">
        <f t="shared" si="60"/>
        <v>12.603448275862069</v>
      </c>
      <c r="W32" s="1413">
        <f t="shared" si="60"/>
        <v>12.603448275862069</v>
      </c>
      <c r="X32" s="1411">
        <f t="shared" si="60"/>
        <v>6.384615384615385</v>
      </c>
      <c r="Y32" s="1412">
        <f t="shared" si="60"/>
        <v>10.615384615384615</v>
      </c>
      <c r="Z32" s="1412">
        <f t="shared" si="60"/>
        <v>9.1428571428571423</v>
      </c>
      <c r="AA32" s="1412">
        <f t="shared" si="60"/>
        <v>9.2857142857142865</v>
      </c>
      <c r="AB32" s="1412">
        <f t="shared" si="60"/>
        <v>8.6666666666666661</v>
      </c>
      <c r="AC32" s="1412">
        <f t="shared" si="60"/>
        <v>8.7333333333333325</v>
      </c>
      <c r="AD32" s="1413">
        <f t="shared" si="60"/>
        <v>8.8000000000000007</v>
      </c>
      <c r="AE32" s="1411">
        <f t="shared" ref="AE32:AR32" si="61">IFERROR(AE29/AE14,0)</f>
        <v>0</v>
      </c>
      <c r="AF32" s="1412">
        <f t="shared" si="61"/>
        <v>0</v>
      </c>
      <c r="AG32" s="1412">
        <f t="shared" si="61"/>
        <v>0</v>
      </c>
      <c r="AH32" s="1412">
        <f t="shared" si="61"/>
        <v>0</v>
      </c>
      <c r="AI32" s="1412">
        <f t="shared" si="61"/>
        <v>0</v>
      </c>
      <c r="AJ32" s="1412">
        <f t="shared" si="61"/>
        <v>0</v>
      </c>
      <c r="AK32" s="1413">
        <f t="shared" si="61"/>
        <v>0</v>
      </c>
      <c r="AL32" s="1411">
        <f t="shared" si="61"/>
        <v>0</v>
      </c>
      <c r="AM32" s="1412">
        <f t="shared" si="61"/>
        <v>0</v>
      </c>
      <c r="AN32" s="1412">
        <f t="shared" si="61"/>
        <v>0</v>
      </c>
      <c r="AO32" s="1412">
        <f t="shared" si="61"/>
        <v>0</v>
      </c>
      <c r="AP32" s="1412">
        <f t="shared" si="61"/>
        <v>0</v>
      </c>
      <c r="AQ32" s="1412">
        <f t="shared" si="61"/>
        <v>0</v>
      </c>
      <c r="AR32" s="1413">
        <f t="shared" si="61"/>
        <v>0</v>
      </c>
      <c r="AS32" s="1411">
        <f t="shared" si="60"/>
        <v>7.6626746506986025</v>
      </c>
      <c r="AT32" s="1412">
        <f t="shared" si="60"/>
        <v>8.6354581673306772</v>
      </c>
      <c r="AU32" s="1412">
        <f t="shared" si="60"/>
        <v>11.388367729831144</v>
      </c>
      <c r="AV32" s="1412">
        <f t="shared" si="60"/>
        <v>11.525547445255475</v>
      </c>
      <c r="AW32" s="1412">
        <f t="shared" si="60"/>
        <v>11.552158273381295</v>
      </c>
      <c r="AX32" s="1412">
        <f t="shared" si="60"/>
        <v>11.633928571428571</v>
      </c>
      <c r="AY32" s="1413">
        <f t="shared" si="60"/>
        <v>12.339688041594455</v>
      </c>
      <c r="AZ32" s="1585"/>
    </row>
    <row r="33" spans="1:52" ht="24">
      <c r="A33" s="2679" t="s">
        <v>124</v>
      </c>
      <c r="B33" s="1395" t="s">
        <v>863</v>
      </c>
      <c r="C33" s="1400">
        <f t="shared" ref="C33:AY33" si="62">IFERROR(C30/C14,0)</f>
        <v>1.3247663551401869</v>
      </c>
      <c r="D33" s="1389">
        <f t="shared" si="62"/>
        <v>1.6098130841121496</v>
      </c>
      <c r="E33" s="1389">
        <f t="shared" si="62"/>
        <v>2.0942528735632182</v>
      </c>
      <c r="F33" s="1389">
        <f t="shared" si="62"/>
        <v>2.028888888888889</v>
      </c>
      <c r="G33" s="1389">
        <f t="shared" si="62"/>
        <v>2.0955555555555554</v>
      </c>
      <c r="H33" s="1389">
        <f t="shared" si="62"/>
        <v>2.0955555555555554</v>
      </c>
      <c r="I33" s="1401">
        <f t="shared" si="62"/>
        <v>2.2516129032258063</v>
      </c>
      <c r="J33" s="1400">
        <f t="shared" si="62"/>
        <v>3.5357142857142856</v>
      </c>
      <c r="K33" s="1389">
        <f t="shared" si="62"/>
        <v>2.8571428571428572</v>
      </c>
      <c r="L33" s="1389">
        <f t="shared" si="62"/>
        <v>2.2666666666666666</v>
      </c>
      <c r="M33" s="1389">
        <f t="shared" si="62"/>
        <v>2.2666666666666666</v>
      </c>
      <c r="N33" s="1389">
        <f t="shared" si="62"/>
        <v>2.3125</v>
      </c>
      <c r="O33" s="1389">
        <f t="shared" si="62"/>
        <v>2.2424242424242422</v>
      </c>
      <c r="P33" s="1401">
        <f t="shared" si="62"/>
        <v>2.2571428571428571</v>
      </c>
      <c r="Q33" s="1400">
        <f t="shared" si="62"/>
        <v>1.5862068965517242</v>
      </c>
      <c r="R33" s="1389">
        <f t="shared" si="62"/>
        <v>1.5172413793103448</v>
      </c>
      <c r="S33" s="1389">
        <f t="shared" si="62"/>
        <v>1.84</v>
      </c>
      <c r="T33" s="1389">
        <f t="shared" si="62"/>
        <v>2.06</v>
      </c>
      <c r="U33" s="1389">
        <f t="shared" si="62"/>
        <v>2.1090909090909089</v>
      </c>
      <c r="V33" s="1389">
        <f t="shared" si="62"/>
        <v>2.2758620689655173</v>
      </c>
      <c r="W33" s="1401">
        <f t="shared" si="62"/>
        <v>2.2758620689655173</v>
      </c>
      <c r="X33" s="1400">
        <f t="shared" si="62"/>
        <v>1.3076923076923077</v>
      </c>
      <c r="Y33" s="1389">
        <f t="shared" si="62"/>
        <v>1.6153846153846154</v>
      </c>
      <c r="Z33" s="1389">
        <f t="shared" si="62"/>
        <v>1.6428571428571428</v>
      </c>
      <c r="AA33" s="1389">
        <f t="shared" si="62"/>
        <v>1.6428571428571428</v>
      </c>
      <c r="AB33" s="1389">
        <f t="shared" si="62"/>
        <v>1.5333333333333334</v>
      </c>
      <c r="AC33" s="1389">
        <f t="shared" si="62"/>
        <v>1.6</v>
      </c>
      <c r="AD33" s="1401">
        <f t="shared" si="62"/>
        <v>1.6</v>
      </c>
      <c r="AE33" s="1400">
        <f t="shared" ref="AE33:AR33" si="63">IFERROR(AE30/AE14,0)</f>
        <v>0</v>
      </c>
      <c r="AF33" s="1389">
        <f t="shared" si="63"/>
        <v>0</v>
      </c>
      <c r="AG33" s="1389">
        <f t="shared" si="63"/>
        <v>0</v>
      </c>
      <c r="AH33" s="1389">
        <f t="shared" si="63"/>
        <v>0</v>
      </c>
      <c r="AI33" s="1389">
        <f t="shared" si="63"/>
        <v>0</v>
      </c>
      <c r="AJ33" s="1389">
        <f t="shared" si="63"/>
        <v>0</v>
      </c>
      <c r="AK33" s="1401">
        <f t="shared" si="63"/>
        <v>0</v>
      </c>
      <c r="AL33" s="1400">
        <f t="shared" si="63"/>
        <v>0</v>
      </c>
      <c r="AM33" s="1389">
        <f t="shared" si="63"/>
        <v>0</v>
      </c>
      <c r="AN33" s="1389">
        <f t="shared" si="63"/>
        <v>0</v>
      </c>
      <c r="AO33" s="1389">
        <f t="shared" si="63"/>
        <v>0</v>
      </c>
      <c r="AP33" s="1389">
        <f t="shared" si="63"/>
        <v>0</v>
      </c>
      <c r="AQ33" s="1389">
        <f t="shared" si="63"/>
        <v>0</v>
      </c>
      <c r="AR33" s="1401">
        <f t="shared" si="63"/>
        <v>0</v>
      </c>
      <c r="AS33" s="1394">
        <f t="shared" si="62"/>
        <v>1.4550898203592815</v>
      </c>
      <c r="AT33" s="1388">
        <f t="shared" si="62"/>
        <v>1.6613545816733069</v>
      </c>
      <c r="AU33" s="1388">
        <f t="shared" si="62"/>
        <v>2.052532833020638</v>
      </c>
      <c r="AV33" s="1388">
        <f t="shared" si="62"/>
        <v>2.0200729927007299</v>
      </c>
      <c r="AW33" s="1388">
        <f t="shared" si="62"/>
        <v>2.079136690647482</v>
      </c>
      <c r="AX33" s="1388">
        <f t="shared" si="62"/>
        <v>2.094642857142857</v>
      </c>
      <c r="AY33" s="1391">
        <f t="shared" si="62"/>
        <v>2.2218370883882148</v>
      </c>
      <c r="AZ33" s="1542"/>
    </row>
    <row r="34" spans="1:52" ht="24">
      <c r="A34" s="2679" t="s">
        <v>91</v>
      </c>
      <c r="B34" s="1395" t="s">
        <v>864</v>
      </c>
      <c r="C34" s="1400">
        <f t="shared" ref="C34:AY34" si="64">IFERROR(C31/C14,0)</f>
        <v>0.50467289719626163</v>
      </c>
      <c r="D34" s="1389">
        <f t="shared" si="64"/>
        <v>0.84112149532710279</v>
      </c>
      <c r="E34" s="1389">
        <f t="shared" si="64"/>
        <v>0.93103448275862066</v>
      </c>
      <c r="F34" s="1389">
        <f t="shared" si="64"/>
        <v>0.93111111111111111</v>
      </c>
      <c r="G34" s="1389">
        <f t="shared" si="64"/>
        <v>0.93111111111111111</v>
      </c>
      <c r="H34" s="1389">
        <f t="shared" si="64"/>
        <v>0.93111111111111111</v>
      </c>
      <c r="I34" s="1401">
        <f t="shared" si="64"/>
        <v>1</v>
      </c>
      <c r="J34" s="1400">
        <f t="shared" si="64"/>
        <v>0.5357142857142857</v>
      </c>
      <c r="K34" s="1389">
        <f t="shared" si="64"/>
        <v>1.3214285714285714</v>
      </c>
      <c r="L34" s="1389">
        <f t="shared" si="64"/>
        <v>1</v>
      </c>
      <c r="M34" s="1389">
        <f t="shared" si="64"/>
        <v>1</v>
      </c>
      <c r="N34" s="1389">
        <f t="shared" si="64"/>
        <v>1.03125</v>
      </c>
      <c r="O34" s="1389">
        <f t="shared" si="64"/>
        <v>1</v>
      </c>
      <c r="P34" s="1401">
        <f t="shared" si="64"/>
        <v>1</v>
      </c>
      <c r="Q34" s="1400">
        <f t="shared" si="64"/>
        <v>0.48275862068965519</v>
      </c>
      <c r="R34" s="1389">
        <f t="shared" si="64"/>
        <v>0.7931034482758621</v>
      </c>
      <c r="S34" s="1389">
        <f t="shared" si="64"/>
        <v>0.82</v>
      </c>
      <c r="T34" s="1389">
        <f t="shared" si="64"/>
        <v>0.92</v>
      </c>
      <c r="U34" s="1389">
        <f t="shared" si="64"/>
        <v>0.94545454545454544</v>
      </c>
      <c r="V34" s="1389">
        <f t="shared" si="64"/>
        <v>1</v>
      </c>
      <c r="W34" s="1401">
        <f t="shared" si="64"/>
        <v>1</v>
      </c>
      <c r="X34" s="1400">
        <f t="shared" si="64"/>
        <v>0.46153846153846156</v>
      </c>
      <c r="Y34" s="1389">
        <f t="shared" si="64"/>
        <v>0.84615384615384615</v>
      </c>
      <c r="Z34" s="1389">
        <f t="shared" si="64"/>
        <v>0.7142857142857143</v>
      </c>
      <c r="AA34" s="1389">
        <f t="shared" si="64"/>
        <v>0.7142857142857143</v>
      </c>
      <c r="AB34" s="1389">
        <f t="shared" si="64"/>
        <v>0.66666666666666663</v>
      </c>
      <c r="AC34" s="1389">
        <f t="shared" si="64"/>
        <v>0.66666666666666663</v>
      </c>
      <c r="AD34" s="1401">
        <f t="shared" si="64"/>
        <v>0.73333333333333328</v>
      </c>
      <c r="AE34" s="1400">
        <f t="shared" ref="AE34:AR34" si="65">IFERROR(AE31/AE14,0)</f>
        <v>0</v>
      </c>
      <c r="AF34" s="1389">
        <f t="shared" si="65"/>
        <v>0</v>
      </c>
      <c r="AG34" s="1389">
        <f t="shared" si="65"/>
        <v>0</v>
      </c>
      <c r="AH34" s="1389">
        <f t="shared" si="65"/>
        <v>0</v>
      </c>
      <c r="AI34" s="1389">
        <f t="shared" si="65"/>
        <v>0</v>
      </c>
      <c r="AJ34" s="1389">
        <f t="shared" si="65"/>
        <v>0</v>
      </c>
      <c r="AK34" s="1401">
        <f t="shared" si="65"/>
        <v>0</v>
      </c>
      <c r="AL34" s="1400">
        <f t="shared" si="65"/>
        <v>0</v>
      </c>
      <c r="AM34" s="1389">
        <f t="shared" si="65"/>
        <v>0</v>
      </c>
      <c r="AN34" s="1389">
        <f t="shared" si="65"/>
        <v>0</v>
      </c>
      <c r="AO34" s="1389">
        <f t="shared" si="65"/>
        <v>0</v>
      </c>
      <c r="AP34" s="1389">
        <f t="shared" si="65"/>
        <v>0</v>
      </c>
      <c r="AQ34" s="1389">
        <f t="shared" si="65"/>
        <v>0</v>
      </c>
      <c r="AR34" s="1401">
        <f t="shared" si="65"/>
        <v>0</v>
      </c>
      <c r="AS34" s="1394">
        <f t="shared" si="64"/>
        <v>0.50099800399201599</v>
      </c>
      <c r="AT34" s="1388">
        <f t="shared" si="64"/>
        <v>0.85856573705179284</v>
      </c>
      <c r="AU34" s="1388">
        <f t="shared" si="64"/>
        <v>0.91181988742964348</v>
      </c>
      <c r="AV34" s="1388">
        <f t="shared" si="64"/>
        <v>0.92153284671532842</v>
      </c>
      <c r="AW34" s="1388">
        <f t="shared" si="64"/>
        <v>0.92446043165467628</v>
      </c>
      <c r="AX34" s="1388">
        <f t="shared" si="64"/>
        <v>0.9285714285714286</v>
      </c>
      <c r="AY34" s="1391">
        <f t="shared" si="64"/>
        <v>0.98613518197573657</v>
      </c>
      <c r="AZ34" s="1542"/>
    </row>
    <row r="35" spans="1:52" ht="24">
      <c r="A35" s="2679" t="s">
        <v>92</v>
      </c>
      <c r="B35" s="2690" t="s">
        <v>1412</v>
      </c>
      <c r="C35" s="1427">
        <f>IFERROR(C30/C29,0)</f>
        <v>0.17841409691629956</v>
      </c>
      <c r="D35" s="1425">
        <f t="shared" ref="D35:AD35" si="66">IFERROR(D30/D29,0)</f>
        <v>0.19149527515286272</v>
      </c>
      <c r="E35" s="1425">
        <f t="shared" si="66"/>
        <v>0.18021760633036599</v>
      </c>
      <c r="F35" s="1425">
        <f t="shared" si="66"/>
        <v>0.17426989883565566</v>
      </c>
      <c r="G35" s="1425">
        <f t="shared" si="66"/>
        <v>0.17999618247757204</v>
      </c>
      <c r="H35" s="1425">
        <f t="shared" si="66"/>
        <v>0.17999618247757204</v>
      </c>
      <c r="I35" s="1426">
        <f t="shared" si="66"/>
        <v>0.18002063273727648</v>
      </c>
      <c r="J35" s="1427">
        <f t="shared" si="66"/>
        <v>0.28205128205128205</v>
      </c>
      <c r="K35" s="1425">
        <f t="shared" si="66"/>
        <v>0.21621621621621623</v>
      </c>
      <c r="L35" s="1425">
        <f t="shared" si="66"/>
        <v>0.18037135278514588</v>
      </c>
      <c r="M35" s="1425">
        <f t="shared" si="66"/>
        <v>0.18037135278514588</v>
      </c>
      <c r="N35" s="1425">
        <f t="shared" si="66"/>
        <v>0.18092909535452323</v>
      </c>
      <c r="O35" s="1425">
        <f t="shared" si="66"/>
        <v>0.17874396135265699</v>
      </c>
      <c r="P35" s="1426">
        <f t="shared" si="66"/>
        <v>0.17913832199546487</v>
      </c>
      <c r="Q35" s="1427">
        <f t="shared" si="66"/>
        <v>0.20264317180616739</v>
      </c>
      <c r="R35" s="1425">
        <f t="shared" si="66"/>
        <v>0.19213973799126638</v>
      </c>
      <c r="S35" s="1425">
        <f t="shared" si="66"/>
        <v>0.1803921568627451</v>
      </c>
      <c r="T35" s="1425">
        <f t="shared" si="66"/>
        <v>0.18070175438596492</v>
      </c>
      <c r="U35" s="1425">
        <f t="shared" si="66"/>
        <v>0.17984496124031008</v>
      </c>
      <c r="V35" s="1425">
        <f t="shared" si="66"/>
        <v>0.18057455540355677</v>
      </c>
      <c r="W35" s="1426">
        <f t="shared" si="66"/>
        <v>0.18057455540355677</v>
      </c>
      <c r="X35" s="1427">
        <f t="shared" si="66"/>
        <v>0.20481927710843373</v>
      </c>
      <c r="Y35" s="1425">
        <f t="shared" si="66"/>
        <v>0.15217391304347827</v>
      </c>
      <c r="Z35" s="1425">
        <f t="shared" si="66"/>
        <v>0.1796875</v>
      </c>
      <c r="AA35" s="1425">
        <f t="shared" si="66"/>
        <v>0.17692307692307693</v>
      </c>
      <c r="AB35" s="1425">
        <f t="shared" si="66"/>
        <v>0.17692307692307693</v>
      </c>
      <c r="AC35" s="1425">
        <f t="shared" si="66"/>
        <v>0.18320610687022901</v>
      </c>
      <c r="AD35" s="1426">
        <f t="shared" si="66"/>
        <v>0.18181818181818182</v>
      </c>
      <c r="AE35" s="1427">
        <f t="shared" ref="AE35:AR35" si="67">IFERROR(AE30/AE29,0)</f>
        <v>0</v>
      </c>
      <c r="AF35" s="1425">
        <f t="shared" si="67"/>
        <v>0</v>
      </c>
      <c r="AG35" s="1425">
        <f t="shared" si="67"/>
        <v>0</v>
      </c>
      <c r="AH35" s="1425">
        <f t="shared" si="67"/>
        <v>0</v>
      </c>
      <c r="AI35" s="1425">
        <f t="shared" si="67"/>
        <v>0</v>
      </c>
      <c r="AJ35" s="1425">
        <f t="shared" si="67"/>
        <v>0</v>
      </c>
      <c r="AK35" s="1426">
        <f t="shared" si="67"/>
        <v>0</v>
      </c>
      <c r="AL35" s="1427">
        <f t="shared" si="67"/>
        <v>0</v>
      </c>
      <c r="AM35" s="1425">
        <f t="shared" si="67"/>
        <v>0</v>
      </c>
      <c r="AN35" s="1425">
        <f t="shared" si="67"/>
        <v>0</v>
      </c>
      <c r="AO35" s="1425">
        <f t="shared" si="67"/>
        <v>0</v>
      </c>
      <c r="AP35" s="1425">
        <f t="shared" si="67"/>
        <v>0</v>
      </c>
      <c r="AQ35" s="1425">
        <f t="shared" si="67"/>
        <v>0</v>
      </c>
      <c r="AR35" s="1426">
        <f t="shared" si="67"/>
        <v>0</v>
      </c>
      <c r="AS35" s="1427">
        <f>IFERROR(AS30/AS29,0)</f>
        <v>0.1898932013545194</v>
      </c>
      <c r="AT35" s="1425">
        <f>IFERROR(AT30/AT29,0)</f>
        <v>0.19238754325259516</v>
      </c>
      <c r="AU35" s="1425">
        <f t="shared" ref="AU35:AY35" si="68">IFERROR(AU30/AU29,0)</f>
        <v>0.1802306425041186</v>
      </c>
      <c r="AV35" s="1425">
        <f t="shared" si="68"/>
        <v>0.17526915769474352</v>
      </c>
      <c r="AW35" s="1425">
        <f t="shared" si="68"/>
        <v>0.17997820333177642</v>
      </c>
      <c r="AX35" s="1425">
        <f t="shared" si="68"/>
        <v>0.18004604758250192</v>
      </c>
      <c r="AY35" s="1426">
        <f t="shared" si="68"/>
        <v>0.18005617977528091</v>
      </c>
      <c r="AZ35" s="1542"/>
    </row>
    <row r="36" spans="1:52" ht="21" customHeight="1" thickBot="1">
      <c r="A36" s="2681" t="s">
        <v>491</v>
      </c>
      <c r="B36" s="2691" t="s">
        <v>1413</v>
      </c>
      <c r="C36" s="1430">
        <f>IFERROR(C31/C29,0)</f>
        <v>6.7967275015733172E-2</v>
      </c>
      <c r="D36" s="1428">
        <f t="shared" ref="D36:AD36" si="69">IFERROR(D31/D29,0)</f>
        <v>0.1000555864369094</v>
      </c>
      <c r="E36" s="1428">
        <f t="shared" si="69"/>
        <v>8.0118694362017809E-2</v>
      </c>
      <c r="F36" s="1428">
        <f t="shared" si="69"/>
        <v>7.9977094865432335E-2</v>
      </c>
      <c r="G36" s="1428">
        <f t="shared" si="69"/>
        <v>7.9977094865432335E-2</v>
      </c>
      <c r="H36" s="1428">
        <f t="shared" si="69"/>
        <v>7.9977094865432335E-2</v>
      </c>
      <c r="I36" s="1429">
        <f t="shared" si="69"/>
        <v>7.9951856946354885E-2</v>
      </c>
      <c r="J36" s="1430">
        <f t="shared" si="69"/>
        <v>4.2735042735042736E-2</v>
      </c>
      <c r="K36" s="1428">
        <f t="shared" si="69"/>
        <v>0.1</v>
      </c>
      <c r="L36" s="1428">
        <f t="shared" si="69"/>
        <v>7.9575596816976124E-2</v>
      </c>
      <c r="M36" s="1428">
        <f t="shared" si="69"/>
        <v>7.9575596816976124E-2</v>
      </c>
      <c r="N36" s="1428">
        <f t="shared" si="69"/>
        <v>8.0684596577017112E-2</v>
      </c>
      <c r="O36" s="1428">
        <f t="shared" si="69"/>
        <v>7.9710144927536225E-2</v>
      </c>
      <c r="P36" s="1429">
        <f t="shared" si="69"/>
        <v>7.9365079365079361E-2</v>
      </c>
      <c r="Q36" s="1430">
        <f t="shared" si="69"/>
        <v>6.1674008810572688E-2</v>
      </c>
      <c r="R36" s="1428">
        <f t="shared" si="69"/>
        <v>0.10043668122270742</v>
      </c>
      <c r="S36" s="1428">
        <f t="shared" si="69"/>
        <v>8.0392156862745104E-2</v>
      </c>
      <c r="T36" s="1428">
        <f t="shared" si="69"/>
        <v>8.0701754385964913E-2</v>
      </c>
      <c r="U36" s="1428">
        <f t="shared" si="69"/>
        <v>8.0620155038759689E-2</v>
      </c>
      <c r="V36" s="1428">
        <f t="shared" si="69"/>
        <v>7.9343365253077974E-2</v>
      </c>
      <c r="W36" s="1429">
        <f t="shared" si="69"/>
        <v>7.9343365253077974E-2</v>
      </c>
      <c r="X36" s="1430">
        <f t="shared" si="69"/>
        <v>7.2289156626506021E-2</v>
      </c>
      <c r="Y36" s="1428">
        <f t="shared" si="69"/>
        <v>7.9710144927536225E-2</v>
      </c>
      <c r="Z36" s="1428">
        <f t="shared" si="69"/>
        <v>7.8125E-2</v>
      </c>
      <c r="AA36" s="1428">
        <f t="shared" si="69"/>
        <v>7.6923076923076927E-2</v>
      </c>
      <c r="AB36" s="1428">
        <f t="shared" si="69"/>
        <v>7.6923076923076927E-2</v>
      </c>
      <c r="AC36" s="1428">
        <f t="shared" si="69"/>
        <v>7.6335877862595422E-2</v>
      </c>
      <c r="AD36" s="1429">
        <f t="shared" si="69"/>
        <v>8.3333333333333329E-2</v>
      </c>
      <c r="AE36" s="1430">
        <f t="shared" ref="AE36:AR36" si="70">IFERROR(AE31/AE29,0)</f>
        <v>0</v>
      </c>
      <c r="AF36" s="1428">
        <f t="shared" si="70"/>
        <v>0</v>
      </c>
      <c r="AG36" s="1428">
        <f t="shared" si="70"/>
        <v>0</v>
      </c>
      <c r="AH36" s="1428">
        <f t="shared" si="70"/>
        <v>0</v>
      </c>
      <c r="AI36" s="1428">
        <f t="shared" si="70"/>
        <v>0</v>
      </c>
      <c r="AJ36" s="1428">
        <f t="shared" si="70"/>
        <v>0</v>
      </c>
      <c r="AK36" s="1429">
        <f t="shared" si="70"/>
        <v>0</v>
      </c>
      <c r="AL36" s="1430">
        <f t="shared" si="70"/>
        <v>0</v>
      </c>
      <c r="AM36" s="1428">
        <f t="shared" si="70"/>
        <v>0</v>
      </c>
      <c r="AN36" s="1428">
        <f t="shared" si="70"/>
        <v>0</v>
      </c>
      <c r="AO36" s="1428">
        <f t="shared" si="70"/>
        <v>0</v>
      </c>
      <c r="AP36" s="1428">
        <f t="shared" si="70"/>
        <v>0</v>
      </c>
      <c r="AQ36" s="1428">
        <f t="shared" si="70"/>
        <v>0</v>
      </c>
      <c r="AR36" s="1429">
        <f t="shared" si="70"/>
        <v>0</v>
      </c>
      <c r="AS36" s="1430">
        <f t="shared" ref="AS36:AX36" si="71">IFERROR(AS31/AS29,0)</f>
        <v>6.5381609794217241E-2</v>
      </c>
      <c r="AT36" s="1428">
        <f>IFERROR(AT31/AT29,0)</f>
        <v>9.9423298731257215E-2</v>
      </c>
      <c r="AU36" s="1428">
        <f t="shared" si="71"/>
        <v>8.0065897858319607E-2</v>
      </c>
      <c r="AV36" s="1428">
        <f t="shared" si="71"/>
        <v>7.9955668144395184E-2</v>
      </c>
      <c r="AW36" s="1428">
        <f t="shared" si="71"/>
        <v>8.0024910477969793E-2</v>
      </c>
      <c r="AX36" s="1428">
        <f t="shared" si="71"/>
        <v>7.9815809669992327E-2</v>
      </c>
      <c r="AY36" s="1429">
        <f>IFERROR(AY31/AY29,0)</f>
        <v>7.9915730337078647E-2</v>
      </c>
      <c r="AZ36" s="1542"/>
    </row>
    <row r="40" spans="1:52" ht="16.5" customHeight="1"/>
    <row r="41" spans="1:52">
      <c r="AP41" s="1542"/>
      <c r="AQ41" s="1542"/>
      <c r="AR41" s="1542"/>
      <c r="AS41" s="1542"/>
      <c r="AT41" s="1542"/>
      <c r="AU41" s="1542"/>
      <c r="AV41" s="1541"/>
    </row>
    <row r="42" spans="1:52">
      <c r="A42" s="1587"/>
      <c r="B42" s="1567"/>
      <c r="C42" s="1587"/>
      <c r="K42" s="1567"/>
      <c r="L42" s="1567"/>
      <c r="M42" s="1567"/>
      <c r="N42" s="1567"/>
      <c r="O42" s="1567"/>
      <c r="P42" s="1567"/>
      <c r="Q42" s="1567"/>
      <c r="R42" s="1567"/>
      <c r="S42" s="1567"/>
      <c r="T42" s="1567"/>
      <c r="U42" s="1567"/>
      <c r="V42" s="1567"/>
      <c r="W42" s="1567"/>
      <c r="X42" s="1567"/>
      <c r="Y42" s="1567"/>
      <c r="Z42" s="1567"/>
      <c r="AA42" s="1567"/>
      <c r="AB42" s="1567"/>
      <c r="AC42" s="1567"/>
      <c r="AD42" s="1567"/>
      <c r="AE42" s="1567"/>
      <c r="AF42" s="1567"/>
      <c r="AG42" s="1567"/>
      <c r="AH42" s="1567"/>
      <c r="AI42" s="1567"/>
      <c r="AJ42" s="1567"/>
      <c r="AK42" s="1567"/>
      <c r="AL42" s="1567"/>
      <c r="AM42" s="1567"/>
      <c r="AN42" s="1567"/>
      <c r="AO42" s="1567"/>
      <c r="AP42" s="1587"/>
      <c r="AQ42" s="1588"/>
      <c r="AR42" s="1589" t="s">
        <v>114</v>
      </c>
      <c r="AS42" s="1588" t="s">
        <v>4</v>
      </c>
      <c r="AT42" s="1590"/>
      <c r="AU42" s="1587"/>
      <c r="AV42" s="1567"/>
      <c r="AW42" s="1568"/>
      <c r="AX42" s="1568"/>
      <c r="AY42" s="1568"/>
    </row>
    <row r="43" spans="1:52">
      <c r="A43" s="1591"/>
      <c r="B43" s="1592" t="str">
        <f>'Приложение '!B56</f>
        <v>Дата: 27.06.2016г.</v>
      </c>
      <c r="C43" s="1587"/>
      <c r="K43" s="1567"/>
      <c r="L43" s="1567"/>
      <c r="M43" s="1567"/>
      <c r="N43" s="1567"/>
      <c r="O43" s="1567"/>
      <c r="P43" s="1567"/>
      <c r="Q43" s="1567"/>
      <c r="R43" s="1567"/>
      <c r="S43" s="1567"/>
      <c r="T43" s="1567"/>
      <c r="U43" s="1567"/>
      <c r="V43" s="1567"/>
      <c r="W43" s="1567"/>
      <c r="X43" s="1567"/>
      <c r="Y43" s="1567"/>
      <c r="Z43" s="1567"/>
      <c r="AA43" s="1567"/>
      <c r="AB43" s="1567"/>
      <c r="AC43" s="1567"/>
      <c r="AD43" s="1567"/>
      <c r="AE43" s="1567"/>
      <c r="AF43" s="1567"/>
      <c r="AG43" s="1567"/>
      <c r="AH43" s="1567"/>
      <c r="AI43" s="1567"/>
      <c r="AJ43" s="1567"/>
      <c r="AK43" s="1567"/>
      <c r="AL43" s="1567"/>
      <c r="AM43" s="1567"/>
      <c r="AN43" s="1567"/>
      <c r="AO43" s="1567"/>
      <c r="AP43" s="1587"/>
      <c r="AQ43" s="1590"/>
      <c r="AR43" s="1593"/>
      <c r="AS43" s="1588"/>
      <c r="AT43" s="1594" t="s">
        <v>5</v>
      </c>
      <c r="AU43" s="1587"/>
      <c r="AV43" s="1567"/>
      <c r="AW43" s="1568"/>
      <c r="AX43" s="1568"/>
      <c r="AY43" s="1568"/>
    </row>
    <row r="44" spans="1:52">
      <c r="A44" s="1590"/>
      <c r="B44" s="1595"/>
      <c r="C44" s="1587"/>
      <c r="AP44" s="1587"/>
      <c r="AQ44" s="1587"/>
      <c r="AR44" s="1587"/>
      <c r="AS44" s="1587"/>
      <c r="AT44" s="1587"/>
      <c r="AU44" s="1542"/>
      <c r="AV44" s="1541"/>
    </row>
    <row r="45" spans="1:52">
      <c r="A45" s="1590"/>
      <c r="B45" s="1595"/>
      <c r="C45" s="1587"/>
      <c r="AP45" s="1587"/>
      <c r="AQ45" s="1587"/>
      <c r="AR45" s="1587"/>
      <c r="AS45" s="1587"/>
      <c r="AT45" s="1587"/>
      <c r="AU45" s="1542"/>
      <c r="AV45" s="1541"/>
    </row>
    <row r="46" spans="1:52">
      <c r="A46" s="1590"/>
      <c r="B46" s="1595"/>
      <c r="C46" s="1587"/>
      <c r="AP46" s="1587"/>
      <c r="AQ46" s="1587"/>
      <c r="AR46" s="1589" t="s">
        <v>756</v>
      </c>
      <c r="AS46" s="1588" t="s">
        <v>4</v>
      </c>
      <c r="AT46" s="1590"/>
      <c r="AU46" s="1542"/>
      <c r="AV46" s="1541"/>
    </row>
    <row r="47" spans="1:52">
      <c r="A47" s="1590"/>
      <c r="B47" s="1595"/>
      <c r="C47" s="1587"/>
      <c r="AP47" s="1587"/>
      <c r="AQ47" s="1587"/>
      <c r="AR47" s="1587"/>
      <c r="AS47" s="1587"/>
      <c r="AT47" s="1594" t="s">
        <v>6</v>
      </c>
      <c r="AU47" s="1542"/>
      <c r="AV47" s="1541"/>
    </row>
    <row r="48" spans="1:52">
      <c r="A48" s="3381" t="s">
        <v>247</v>
      </c>
      <c r="B48" s="3381"/>
      <c r="C48" s="1596"/>
      <c r="AP48" s="1596"/>
      <c r="AQ48" s="1596"/>
      <c r="AR48" s="1596"/>
      <c r="AS48" s="1596"/>
      <c r="AT48" s="1596"/>
      <c r="AU48" s="1542"/>
      <c r="AV48" s="1541"/>
    </row>
    <row r="49" spans="1:21">
      <c r="A49" s="3382" t="s">
        <v>248</v>
      </c>
      <c r="B49" s="3382"/>
      <c r="C49" s="1597"/>
      <c r="D49" s="1598"/>
      <c r="E49" s="1597"/>
      <c r="F49" s="1597"/>
      <c r="G49" s="1597"/>
      <c r="H49" s="1597"/>
    </row>
    <row r="50" spans="1:21" ht="32.25" customHeight="1">
      <c r="A50" s="3368" t="s">
        <v>1550</v>
      </c>
      <c r="B50" s="3368"/>
      <c r="C50" s="3368"/>
      <c r="D50" s="3368"/>
      <c r="E50" s="3368"/>
      <c r="F50" s="3368"/>
      <c r="G50" s="3368"/>
      <c r="H50" s="3368"/>
      <c r="I50" s="3368"/>
      <c r="J50" s="3368"/>
      <c r="K50" s="3368"/>
      <c r="L50" s="3368"/>
      <c r="M50" s="3368"/>
      <c r="N50" s="3368"/>
      <c r="O50" s="3368"/>
      <c r="P50" s="3368"/>
      <c r="Q50" s="3368"/>
      <c r="R50" s="3368"/>
      <c r="S50" s="3368"/>
      <c r="T50" s="3368"/>
      <c r="U50" s="3368"/>
    </row>
  </sheetData>
  <sheetProtection password="C6DB" sheet="1" objects="1" scenarios="1" formatCells="0" formatColumns="0" formatRows="0"/>
  <mergeCells count="18">
    <mergeCell ref="A50:U50"/>
    <mergeCell ref="AS7:AY8"/>
    <mergeCell ref="AE7:AK8"/>
    <mergeCell ref="AL7:AR8"/>
    <mergeCell ref="A48:B48"/>
    <mergeCell ref="A49:B49"/>
    <mergeCell ref="A7:A9"/>
    <mergeCell ref="B7:B9"/>
    <mergeCell ref="C7:W7"/>
    <mergeCell ref="X7:AD8"/>
    <mergeCell ref="C8:I8"/>
    <mergeCell ref="J8:P8"/>
    <mergeCell ref="Q8:W8"/>
    <mergeCell ref="A2:AD2"/>
    <mergeCell ref="A3:AD3"/>
    <mergeCell ref="A4:AD4"/>
    <mergeCell ref="A5:AD5"/>
    <mergeCell ref="A6:AD6"/>
  </mergeCells>
  <printOptions horizontalCentered="1"/>
  <pageMargins left="0.70866141732283472" right="0.70866141732283472" top="0.82677165354330717" bottom="0.74803149606299213" header="0.31496062992125984" footer="0.31496062992125984"/>
  <pageSetup paperSize="9" scale="37" orientation="landscape" r:id="rId1"/>
  <headerFooter>
    <oddFooter>&amp;A&amp;RPage &amp;P</oddFooter>
  </headerFooter>
  <colBreaks count="1" manualBreakCount="1">
    <brk id="30" max="49"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CC"/>
  </sheetPr>
  <dimension ref="A1:DA82"/>
  <sheetViews>
    <sheetView view="pageBreakPreview" zoomScale="70" zoomScaleNormal="85" zoomScaleSheetLayoutView="70" workbookViewId="0">
      <selection activeCell="O23" sqref="O23"/>
    </sheetView>
  </sheetViews>
  <sheetFormatPr defaultRowHeight="12.75"/>
  <cols>
    <col min="1" max="1" width="8.42578125" style="1540" customWidth="1"/>
    <col min="2" max="2" width="35.85546875" style="1540" customWidth="1"/>
    <col min="3" max="9" width="9.7109375" style="1539" customWidth="1"/>
    <col min="10" max="16" width="8.5703125" style="1539" customWidth="1"/>
    <col min="17" max="23" width="8.28515625" style="1539" customWidth="1"/>
    <col min="24" max="28" width="9.140625" style="1539"/>
    <col min="29" max="16384" width="9.140625" style="1540"/>
  </cols>
  <sheetData>
    <row r="1" spans="1:105" ht="15">
      <c r="A1" s="160"/>
      <c r="B1" s="160"/>
      <c r="C1" s="541"/>
      <c r="D1" s="541"/>
      <c r="E1" s="541"/>
      <c r="F1" s="541"/>
      <c r="G1" s="541"/>
      <c r="H1" s="541"/>
      <c r="I1" s="541"/>
      <c r="J1" s="541"/>
      <c r="K1" s="541"/>
      <c r="L1" s="541"/>
      <c r="M1" s="541"/>
      <c r="N1" s="541"/>
      <c r="O1" s="541"/>
      <c r="P1" s="541"/>
      <c r="Q1" s="541"/>
      <c r="R1" s="541"/>
      <c r="S1" s="541"/>
      <c r="T1" s="541"/>
      <c r="U1" s="541"/>
      <c r="V1" s="540" t="s">
        <v>1509</v>
      </c>
      <c r="W1" s="1540"/>
    </row>
    <row r="2" spans="1:105" s="1541" customFormat="1" ht="47.25" customHeight="1">
      <c r="A2" s="3400" t="s">
        <v>1410</v>
      </c>
      <c r="B2" s="3400"/>
      <c r="C2" s="3400"/>
      <c r="D2" s="3400"/>
      <c r="E2" s="3400"/>
      <c r="F2" s="3400"/>
      <c r="G2" s="3400"/>
      <c r="H2" s="3400"/>
      <c r="I2" s="3400"/>
      <c r="J2" s="3400"/>
      <c r="K2" s="3400"/>
      <c r="L2" s="3400"/>
      <c r="M2" s="3400"/>
      <c r="N2" s="3400"/>
      <c r="O2" s="3400"/>
      <c r="P2" s="3400"/>
      <c r="Q2" s="3400"/>
      <c r="R2" s="3400"/>
      <c r="S2" s="3400"/>
      <c r="T2" s="3400"/>
      <c r="U2" s="3400"/>
      <c r="V2" s="3400"/>
      <c r="W2" s="3400"/>
      <c r="X2" s="1539"/>
      <c r="Y2" s="1539"/>
      <c r="Z2" s="1539"/>
      <c r="AA2" s="1539"/>
      <c r="AB2" s="1539"/>
      <c r="AC2" s="1540"/>
      <c r="AD2" s="1540"/>
      <c r="AE2" s="1540"/>
      <c r="AF2" s="1540"/>
      <c r="AG2" s="1540"/>
      <c r="AH2" s="1540"/>
      <c r="AI2" s="1540"/>
      <c r="AJ2" s="1540"/>
      <c r="AK2" s="1540"/>
      <c r="AL2" s="1540"/>
      <c r="AM2" s="1540"/>
      <c r="AN2" s="1540"/>
      <c r="AO2" s="1540"/>
      <c r="AP2" s="1540"/>
      <c r="AQ2" s="1540"/>
      <c r="AR2" s="1540"/>
      <c r="AS2" s="1540"/>
      <c r="AT2" s="1540"/>
      <c r="AU2" s="1540"/>
      <c r="AV2" s="1540"/>
      <c r="AW2" s="1540"/>
      <c r="AX2" s="1540"/>
      <c r="AY2" s="1540"/>
      <c r="AZ2" s="1540"/>
      <c r="BA2" s="1540"/>
      <c r="BB2" s="1540"/>
      <c r="BC2" s="1540"/>
      <c r="BD2" s="1540"/>
      <c r="BE2" s="1540"/>
      <c r="BF2" s="1540"/>
      <c r="BG2" s="1540"/>
      <c r="BH2" s="1540"/>
      <c r="BI2" s="1540"/>
      <c r="BJ2" s="1540"/>
      <c r="BK2" s="1540"/>
      <c r="BL2" s="1540"/>
      <c r="BM2" s="1540"/>
      <c r="BN2" s="1540"/>
      <c r="BO2" s="1540"/>
      <c r="BP2" s="1540"/>
      <c r="BQ2" s="1540"/>
      <c r="BR2" s="1540"/>
      <c r="BS2" s="1540"/>
      <c r="BT2" s="1540"/>
      <c r="BU2" s="1540"/>
      <c r="BV2" s="1540"/>
      <c r="BW2" s="1540"/>
      <c r="BX2" s="1540"/>
      <c r="BY2" s="1540"/>
      <c r="BZ2" s="1540"/>
      <c r="CA2" s="1540"/>
      <c r="CB2" s="1540"/>
      <c r="CC2" s="1540"/>
      <c r="CD2" s="1540"/>
      <c r="CE2" s="1540"/>
      <c r="CF2" s="1540"/>
      <c r="CG2" s="1540"/>
      <c r="CH2" s="1540"/>
      <c r="CI2" s="1540"/>
      <c r="CJ2" s="1540"/>
      <c r="CK2" s="1540"/>
      <c r="CL2" s="1540"/>
      <c r="CM2" s="1540"/>
      <c r="CN2" s="1540"/>
      <c r="CO2" s="1540"/>
      <c r="CP2" s="1540"/>
      <c r="CQ2" s="1540"/>
      <c r="CR2" s="1540"/>
      <c r="CS2" s="1540"/>
      <c r="CT2" s="1540"/>
      <c r="CU2" s="1540"/>
      <c r="CV2" s="1540"/>
      <c r="CW2" s="1540"/>
      <c r="CX2" s="1540"/>
      <c r="CY2" s="1540"/>
      <c r="CZ2" s="1540"/>
      <c r="DA2" s="1540"/>
    </row>
    <row r="3" spans="1:105" s="1541" customFormat="1" ht="14.25" customHeight="1">
      <c r="A3" s="3401" t="str">
        <f>'1. Анкетна карта'!A3</f>
        <v>на "Водоснабдяване и канализация" ООД , гр. Враца</v>
      </c>
      <c r="B3" s="3401"/>
      <c r="C3" s="3401"/>
      <c r="D3" s="3401"/>
      <c r="E3" s="3401"/>
      <c r="F3" s="3401"/>
      <c r="G3" s="3401"/>
      <c r="H3" s="3401"/>
      <c r="I3" s="3401"/>
      <c r="J3" s="3401"/>
      <c r="K3" s="3401"/>
      <c r="L3" s="3401"/>
      <c r="M3" s="3401"/>
      <c r="N3" s="3401"/>
      <c r="O3" s="3401"/>
      <c r="P3" s="3401"/>
      <c r="Q3" s="3401"/>
      <c r="R3" s="3401"/>
      <c r="S3" s="3401"/>
      <c r="T3" s="3401"/>
      <c r="U3" s="3401"/>
      <c r="V3" s="3401"/>
      <c r="W3" s="3401"/>
      <c r="X3" s="1542"/>
      <c r="Y3" s="1542"/>
      <c r="Z3" s="1542"/>
      <c r="AA3" s="1542"/>
      <c r="AB3" s="1542"/>
    </row>
    <row r="4" spans="1:105" s="1541" customFormat="1" ht="14.25" customHeight="1">
      <c r="A4" s="3401" t="str">
        <f>'1. Анкетна карта'!A4</f>
        <v>ЕИК по БУЛСТАТ: 816090199</v>
      </c>
      <c r="B4" s="3401"/>
      <c r="C4" s="3401"/>
      <c r="D4" s="3401"/>
      <c r="E4" s="3401"/>
      <c r="F4" s="3401"/>
      <c r="G4" s="3401"/>
      <c r="H4" s="3401"/>
      <c r="I4" s="3401"/>
      <c r="J4" s="3401"/>
      <c r="K4" s="3401"/>
      <c r="L4" s="3401"/>
      <c r="M4" s="3401"/>
      <c r="N4" s="3401"/>
      <c r="O4" s="3401"/>
      <c r="P4" s="3401"/>
      <c r="Q4" s="3401"/>
      <c r="R4" s="3401"/>
      <c r="S4" s="3401"/>
      <c r="T4" s="3401"/>
      <c r="U4" s="3401"/>
      <c r="V4" s="3401"/>
      <c r="W4" s="3401"/>
      <c r="X4" s="1542"/>
      <c r="Y4" s="1542"/>
      <c r="Z4" s="1542"/>
      <c r="AA4" s="1542"/>
      <c r="AB4" s="1542"/>
    </row>
    <row r="5" spans="1:105" s="1541" customFormat="1" ht="15">
      <c r="A5" s="1543"/>
      <c r="B5" s="1543"/>
      <c r="C5" s="1544"/>
      <c r="D5" s="1544"/>
      <c r="E5" s="1544"/>
      <c r="F5" s="1544"/>
      <c r="G5" s="1544"/>
      <c r="H5" s="1544"/>
      <c r="I5" s="1544"/>
      <c r="J5" s="1544"/>
      <c r="K5" s="1544"/>
      <c r="L5" s="1544"/>
      <c r="M5" s="1544"/>
      <c r="N5" s="1544"/>
      <c r="O5" s="1544"/>
      <c r="P5" s="541"/>
      <c r="Q5" s="541"/>
      <c r="R5" s="541"/>
      <c r="S5" s="541"/>
      <c r="T5" s="541"/>
      <c r="U5" s="541"/>
      <c r="V5" s="3399"/>
      <c r="W5" s="3399"/>
      <c r="X5" s="1539"/>
      <c r="Y5" s="1539"/>
      <c r="Z5" s="1539"/>
      <c r="AA5" s="1539"/>
      <c r="AB5" s="1539"/>
      <c r="AC5" s="1540"/>
      <c r="AD5" s="1540"/>
      <c r="AE5" s="1540"/>
      <c r="AF5" s="1540"/>
      <c r="AG5" s="1540"/>
      <c r="AH5" s="1540"/>
      <c r="AI5" s="1540"/>
      <c r="AJ5" s="1540"/>
      <c r="AK5" s="1540"/>
      <c r="AL5" s="1540"/>
      <c r="AM5" s="1540"/>
      <c r="AN5" s="1540"/>
      <c r="AO5" s="1540"/>
      <c r="AP5" s="1540"/>
      <c r="AQ5" s="1540"/>
      <c r="AR5" s="1540"/>
      <c r="AS5" s="1540"/>
      <c r="AT5" s="1540"/>
      <c r="AU5" s="1540"/>
      <c r="AV5" s="1540"/>
      <c r="AW5" s="1540"/>
      <c r="AX5" s="1540"/>
      <c r="AY5" s="1540"/>
      <c r="AZ5" s="1540"/>
      <c r="BA5" s="1540"/>
      <c r="BB5" s="1540"/>
      <c r="BC5" s="1540"/>
      <c r="BD5" s="1540"/>
      <c r="BE5" s="1540"/>
      <c r="BF5" s="1540"/>
      <c r="BG5" s="1540"/>
      <c r="BH5" s="1540"/>
      <c r="BI5" s="1540"/>
      <c r="BJ5" s="1540"/>
      <c r="BK5" s="1540"/>
      <c r="BL5" s="1540"/>
      <c r="BM5" s="1540"/>
      <c r="BN5" s="1540"/>
      <c r="BO5" s="1540"/>
      <c r="BP5" s="1540"/>
      <c r="BQ5" s="1540"/>
      <c r="BR5" s="1540"/>
      <c r="BS5" s="1540"/>
      <c r="BT5" s="1540"/>
      <c r="BU5" s="1540"/>
      <c r="BV5" s="1540"/>
      <c r="BW5" s="1540"/>
      <c r="BX5" s="1540"/>
      <c r="BY5" s="1540"/>
      <c r="BZ5" s="1540"/>
      <c r="CA5" s="1540"/>
      <c r="CB5" s="1540"/>
      <c r="CC5" s="1540"/>
      <c r="CD5" s="1540"/>
      <c r="CE5" s="1540"/>
      <c r="CF5" s="1540"/>
      <c r="CG5" s="1540"/>
      <c r="CH5" s="1540"/>
      <c r="CI5" s="1540"/>
      <c r="CJ5" s="1540"/>
      <c r="CK5" s="1540"/>
      <c r="CL5" s="1540"/>
      <c r="CM5" s="1540"/>
      <c r="CN5" s="1540"/>
      <c r="CO5" s="1540"/>
      <c r="CP5" s="1540"/>
      <c r="CQ5" s="1540"/>
      <c r="CR5" s="1540"/>
      <c r="CS5" s="1540"/>
      <c r="CT5" s="1540"/>
      <c r="CU5" s="1540"/>
      <c r="CV5" s="1540"/>
      <c r="CW5" s="1540"/>
      <c r="CX5" s="1540"/>
      <c r="CY5" s="1540"/>
      <c r="CZ5" s="1540"/>
      <c r="DA5" s="1540"/>
    </row>
    <row r="6" spans="1:105" s="1541" customFormat="1" ht="23.25" customHeight="1">
      <c r="A6" s="3396" t="s">
        <v>1</v>
      </c>
      <c r="B6" s="3396" t="s">
        <v>502</v>
      </c>
      <c r="C6" s="3396" t="s">
        <v>270</v>
      </c>
      <c r="D6" s="3396"/>
      <c r="E6" s="3396"/>
      <c r="F6" s="3396"/>
      <c r="G6" s="3396"/>
      <c r="H6" s="3396"/>
      <c r="I6" s="3396"/>
      <c r="J6" s="3396"/>
      <c r="K6" s="3396"/>
      <c r="L6" s="3396"/>
      <c r="M6" s="3396"/>
      <c r="N6" s="3396"/>
      <c r="O6" s="3396"/>
      <c r="P6" s="3396"/>
      <c r="Q6" s="3396"/>
      <c r="R6" s="3396"/>
      <c r="S6" s="3396"/>
      <c r="T6" s="3396"/>
      <c r="U6" s="3396"/>
      <c r="V6" s="3396"/>
      <c r="W6" s="3396"/>
      <c r="X6" s="1539"/>
      <c r="Y6" s="1539"/>
      <c r="Z6" s="1539"/>
      <c r="AA6" s="1539"/>
      <c r="AB6" s="1539"/>
      <c r="AC6" s="1540"/>
      <c r="AD6" s="1540"/>
      <c r="AE6" s="1540"/>
      <c r="AF6" s="1540"/>
      <c r="AG6" s="1540"/>
      <c r="AH6" s="1540"/>
      <c r="AI6" s="1540"/>
      <c r="AJ6" s="1540"/>
      <c r="AK6" s="1540"/>
      <c r="AL6" s="1540"/>
      <c r="AM6" s="1540"/>
      <c r="AN6" s="1540"/>
      <c r="AO6" s="1540"/>
      <c r="AP6" s="1540"/>
      <c r="AQ6" s="1540"/>
      <c r="AR6" s="1540"/>
      <c r="AS6" s="1540"/>
      <c r="AT6" s="1540"/>
      <c r="AU6" s="1540"/>
      <c r="AV6" s="1540"/>
      <c r="AW6" s="1540"/>
      <c r="AX6" s="1540"/>
      <c r="AY6" s="1540"/>
      <c r="AZ6" s="1540"/>
      <c r="BA6" s="1540"/>
      <c r="BB6" s="1540"/>
      <c r="BC6" s="1540"/>
      <c r="BD6" s="1540"/>
      <c r="BE6" s="1540"/>
      <c r="BF6" s="1540"/>
      <c r="BG6" s="1540"/>
      <c r="BH6" s="1540"/>
      <c r="BI6" s="1540"/>
      <c r="BJ6" s="1540"/>
      <c r="BK6" s="1540"/>
      <c r="BL6" s="1540"/>
      <c r="BM6" s="1540"/>
      <c r="BN6" s="1540"/>
      <c r="BO6" s="1540"/>
      <c r="BP6" s="1540"/>
      <c r="BQ6" s="1540"/>
      <c r="BR6" s="1540"/>
      <c r="BS6" s="1540"/>
      <c r="BT6" s="1540"/>
      <c r="BU6" s="1540"/>
      <c r="BV6" s="1540"/>
      <c r="BW6" s="1540"/>
      <c r="BX6" s="1540"/>
      <c r="BY6" s="1540"/>
      <c r="BZ6" s="1540"/>
      <c r="CA6" s="1540"/>
      <c r="CB6" s="1540"/>
      <c r="CC6" s="1540"/>
      <c r="CD6" s="1540"/>
      <c r="CE6" s="1540"/>
      <c r="CF6" s="1540"/>
      <c r="CG6" s="1540"/>
      <c r="CH6" s="1540"/>
      <c r="CI6" s="1540"/>
      <c r="CJ6" s="1540"/>
      <c r="CK6" s="1540"/>
      <c r="CL6" s="1540"/>
      <c r="CM6" s="1540"/>
      <c r="CN6" s="1540"/>
      <c r="CO6" s="1540"/>
      <c r="CP6" s="1540"/>
      <c r="CQ6" s="1540"/>
      <c r="CR6" s="1540"/>
      <c r="CS6" s="1540"/>
      <c r="CT6" s="1540"/>
      <c r="CU6" s="1540"/>
      <c r="CV6" s="1540"/>
      <c r="CW6" s="1540"/>
      <c r="CX6" s="1540"/>
      <c r="CY6" s="1540"/>
      <c r="CZ6" s="1540"/>
      <c r="DA6" s="1540"/>
    </row>
    <row r="7" spans="1:105" s="1541" customFormat="1" ht="23.25" customHeight="1">
      <c r="A7" s="3397"/>
      <c r="B7" s="3397"/>
      <c r="C7" s="3398" t="s">
        <v>503</v>
      </c>
      <c r="D7" s="3398"/>
      <c r="E7" s="3398"/>
      <c r="F7" s="3398"/>
      <c r="G7" s="3398"/>
      <c r="H7" s="3398"/>
      <c r="I7" s="3398"/>
      <c r="J7" s="3398" t="s">
        <v>1186</v>
      </c>
      <c r="K7" s="3398"/>
      <c r="L7" s="3398"/>
      <c r="M7" s="3398"/>
      <c r="N7" s="3398"/>
      <c r="O7" s="3398"/>
      <c r="P7" s="3398"/>
      <c r="Q7" s="3398" t="s">
        <v>1187</v>
      </c>
      <c r="R7" s="3398"/>
      <c r="S7" s="3398"/>
      <c r="T7" s="3398"/>
      <c r="U7" s="3398"/>
      <c r="V7" s="3398"/>
      <c r="W7" s="3398"/>
      <c r="X7" s="1539"/>
      <c r="Y7" s="1539"/>
      <c r="Z7" s="1539"/>
      <c r="AA7" s="1539"/>
      <c r="AB7" s="1539"/>
      <c r="AC7" s="1540"/>
      <c r="AD7" s="1540"/>
      <c r="AE7" s="1540"/>
      <c r="AF7" s="1540"/>
      <c r="AG7" s="1540"/>
      <c r="AH7" s="1540"/>
      <c r="AI7" s="1540"/>
      <c r="AJ7" s="1540"/>
      <c r="AK7" s="1540"/>
      <c r="AL7" s="1540"/>
      <c r="AM7" s="1540"/>
      <c r="AN7" s="1540"/>
      <c r="AO7" s="1540"/>
      <c r="AP7" s="1540"/>
      <c r="AQ7" s="1540"/>
      <c r="AR7" s="1540"/>
      <c r="AS7" s="1540"/>
      <c r="AT7" s="1540"/>
      <c r="AU7" s="1540"/>
      <c r="AV7" s="1540"/>
      <c r="AW7" s="1540"/>
      <c r="AX7" s="1540"/>
      <c r="AY7" s="1540"/>
      <c r="AZ7" s="1540"/>
      <c r="BA7" s="1540"/>
      <c r="BB7" s="1540"/>
      <c r="BC7" s="1540"/>
      <c r="BD7" s="1540"/>
      <c r="BE7" s="1540"/>
      <c r="BF7" s="1540"/>
      <c r="BG7" s="1540"/>
      <c r="BH7" s="1540"/>
      <c r="BI7" s="1540"/>
      <c r="BJ7" s="1540"/>
      <c r="BK7" s="1540"/>
      <c r="BL7" s="1540"/>
      <c r="BM7" s="1540"/>
      <c r="BN7" s="1540"/>
      <c r="BO7" s="1540"/>
      <c r="BP7" s="1540"/>
      <c r="BQ7" s="1540"/>
      <c r="BR7" s="1540"/>
      <c r="BS7" s="1540"/>
      <c r="BT7" s="1540"/>
      <c r="BU7" s="1540"/>
      <c r="BV7" s="1540"/>
      <c r="BW7" s="1540"/>
      <c r="BX7" s="1540"/>
      <c r="BY7" s="1540"/>
      <c r="BZ7" s="1540"/>
      <c r="CA7" s="1540"/>
      <c r="CB7" s="1540"/>
      <c r="CC7" s="1540"/>
      <c r="CD7" s="1540"/>
      <c r="CE7" s="1540"/>
      <c r="CF7" s="1540"/>
      <c r="CG7" s="1540"/>
      <c r="CH7" s="1540"/>
      <c r="CI7" s="1540"/>
      <c r="CJ7" s="1540"/>
      <c r="CK7" s="1540"/>
      <c r="CL7" s="1540"/>
      <c r="CM7" s="1540"/>
      <c r="CN7" s="1540"/>
      <c r="CO7" s="1540"/>
      <c r="CP7" s="1540"/>
      <c r="CQ7" s="1540"/>
      <c r="CR7" s="1540"/>
      <c r="CS7" s="1540"/>
      <c r="CT7" s="1540"/>
      <c r="CU7" s="1540"/>
      <c r="CV7" s="1540"/>
      <c r="CW7" s="1540"/>
      <c r="CX7" s="1540"/>
      <c r="CY7" s="1540"/>
      <c r="CZ7" s="1540"/>
      <c r="DA7" s="1540"/>
    </row>
    <row r="8" spans="1:105" s="1541" customFormat="1" ht="23.25" customHeight="1">
      <c r="A8" s="3397"/>
      <c r="B8" s="3397"/>
      <c r="C8" s="1545" t="str">
        <f>'Приложение '!G12</f>
        <v>2015 г.</v>
      </c>
      <c r="D8" s="1545" t="str">
        <f>'Приложение '!$G13</f>
        <v>2016 г.</v>
      </c>
      <c r="E8" s="1545" t="str">
        <f>'Приложение '!$G14</f>
        <v>2017 г.</v>
      </c>
      <c r="F8" s="1545" t="str">
        <f>'Приложение '!$G15</f>
        <v>2018 г.</v>
      </c>
      <c r="G8" s="1545" t="str">
        <f>'Приложение '!$G16</f>
        <v>2019 г.</v>
      </c>
      <c r="H8" s="1545" t="str">
        <f>'Приложение '!$G17</f>
        <v>2020 г.</v>
      </c>
      <c r="I8" s="1545" t="str">
        <f>'Приложение '!$G18</f>
        <v>2021 г.</v>
      </c>
      <c r="J8" s="1545" t="str">
        <f>C8</f>
        <v>2015 г.</v>
      </c>
      <c r="K8" s="1545" t="str">
        <f t="shared" ref="K8:W8" si="0">D8</f>
        <v>2016 г.</v>
      </c>
      <c r="L8" s="1545" t="str">
        <f t="shared" si="0"/>
        <v>2017 г.</v>
      </c>
      <c r="M8" s="1545" t="str">
        <f t="shared" si="0"/>
        <v>2018 г.</v>
      </c>
      <c r="N8" s="1545" t="str">
        <f t="shared" si="0"/>
        <v>2019 г.</v>
      </c>
      <c r="O8" s="1545" t="str">
        <f t="shared" si="0"/>
        <v>2020 г.</v>
      </c>
      <c r="P8" s="1545" t="str">
        <f t="shared" si="0"/>
        <v>2021 г.</v>
      </c>
      <c r="Q8" s="1545" t="str">
        <f t="shared" si="0"/>
        <v>2015 г.</v>
      </c>
      <c r="R8" s="1545" t="str">
        <f t="shared" si="0"/>
        <v>2016 г.</v>
      </c>
      <c r="S8" s="1545" t="str">
        <f t="shared" si="0"/>
        <v>2017 г.</v>
      </c>
      <c r="T8" s="1545" t="str">
        <f t="shared" si="0"/>
        <v>2018 г.</v>
      </c>
      <c r="U8" s="1545" t="str">
        <f t="shared" si="0"/>
        <v>2019 г.</v>
      </c>
      <c r="V8" s="1545" t="str">
        <f t="shared" si="0"/>
        <v>2020 г.</v>
      </c>
      <c r="W8" s="1545" t="str">
        <f t="shared" si="0"/>
        <v>2021 г.</v>
      </c>
      <c r="X8" s="1539"/>
      <c r="Y8" s="1539"/>
      <c r="Z8" s="1539"/>
      <c r="AA8" s="1539"/>
      <c r="AB8" s="1539"/>
      <c r="AC8" s="1540"/>
      <c r="AD8" s="1540"/>
      <c r="AE8" s="1540"/>
      <c r="AF8" s="1540"/>
      <c r="AG8" s="1540"/>
      <c r="AH8" s="1540"/>
      <c r="AI8" s="1540"/>
      <c r="AJ8" s="1540"/>
      <c r="AK8" s="1540"/>
      <c r="AL8" s="1540"/>
      <c r="AM8" s="1540"/>
      <c r="AN8" s="1540"/>
      <c r="AO8" s="1540"/>
      <c r="AP8" s="1540"/>
      <c r="AQ8" s="1540"/>
      <c r="AR8" s="1540"/>
      <c r="AS8" s="1540"/>
      <c r="AT8" s="1540"/>
      <c r="AU8" s="1540"/>
      <c r="AV8" s="1540"/>
      <c r="AW8" s="1540"/>
      <c r="AX8" s="1540"/>
      <c r="AY8" s="1540"/>
      <c r="AZ8" s="1540"/>
      <c r="BA8" s="1540"/>
      <c r="BB8" s="1540"/>
      <c r="BC8" s="1540"/>
      <c r="BD8" s="1540"/>
      <c r="BE8" s="1540"/>
      <c r="BF8" s="1540"/>
      <c r="BG8" s="1540"/>
      <c r="BH8" s="1540"/>
      <c r="BI8" s="1540"/>
      <c r="BJ8" s="1540"/>
      <c r="BK8" s="1540"/>
      <c r="BL8" s="1540"/>
      <c r="BM8" s="1540"/>
      <c r="BN8" s="1540"/>
      <c r="BO8" s="1540"/>
      <c r="BP8" s="1540"/>
      <c r="BQ8" s="1540"/>
      <c r="BR8" s="1540"/>
      <c r="BS8" s="1540"/>
      <c r="BT8" s="1540"/>
      <c r="BU8" s="1540"/>
      <c r="BV8" s="1540"/>
      <c r="BW8" s="1540"/>
      <c r="BX8" s="1540"/>
      <c r="BY8" s="1540"/>
      <c r="BZ8" s="1540"/>
      <c r="CA8" s="1540"/>
      <c r="CB8" s="1540"/>
      <c r="CC8" s="1540"/>
      <c r="CD8" s="1540"/>
      <c r="CE8" s="1540"/>
      <c r="CF8" s="1540"/>
      <c r="CG8" s="1540"/>
      <c r="CH8" s="1540"/>
      <c r="CI8" s="1540"/>
      <c r="CJ8" s="1540"/>
      <c r="CK8" s="1540"/>
      <c r="CL8" s="1540"/>
      <c r="CM8" s="1540"/>
      <c r="CN8" s="1540"/>
      <c r="CO8" s="1540"/>
      <c r="CP8" s="1540"/>
      <c r="CQ8" s="1540"/>
      <c r="CR8" s="1540"/>
      <c r="CS8" s="1540"/>
      <c r="CT8" s="1540"/>
      <c r="CU8" s="1540"/>
      <c r="CV8" s="1540"/>
      <c r="CW8" s="1540"/>
      <c r="CX8" s="1540"/>
      <c r="CY8" s="1540"/>
      <c r="CZ8" s="1540"/>
      <c r="DA8" s="1540"/>
    </row>
    <row r="9" spans="1:105" s="160" customFormat="1" ht="20.25" customHeight="1">
      <c r="A9" s="765">
        <v>1</v>
      </c>
      <c r="B9" s="766" t="s">
        <v>507</v>
      </c>
      <c r="C9" s="1610">
        <v>10675140</v>
      </c>
      <c r="D9" s="2634">
        <v>10461574</v>
      </c>
      <c r="E9" s="2634">
        <v>10500000</v>
      </c>
      <c r="F9" s="1610">
        <v>10500000</v>
      </c>
      <c r="G9" s="2634">
        <v>10500000</v>
      </c>
      <c r="H9" s="2634">
        <v>10500000</v>
      </c>
      <c r="I9" s="1610">
        <v>10500000</v>
      </c>
      <c r="J9" s="1610">
        <v>1561.2836900000002</v>
      </c>
      <c r="K9" s="2634">
        <v>1544</v>
      </c>
      <c r="L9" s="2634">
        <v>1530</v>
      </c>
      <c r="M9" s="1610">
        <v>1530</v>
      </c>
      <c r="N9" s="2634">
        <v>1530</v>
      </c>
      <c r="O9" s="2634">
        <v>1530</v>
      </c>
      <c r="P9" s="1610">
        <v>1530</v>
      </c>
      <c r="Q9" s="2568">
        <f>IFERROR((J9*1000)/(C9/1000),0)</f>
        <v>146.2541652849518</v>
      </c>
      <c r="R9" s="2569">
        <f t="shared" ref="R9:W9" si="1">IFERROR((K9*1000)/(D9/1000),0)</f>
        <v>147.58773392990386</v>
      </c>
      <c r="S9" s="2568">
        <f t="shared" si="1"/>
        <v>145.71428571428572</v>
      </c>
      <c r="T9" s="2568">
        <f t="shared" si="1"/>
        <v>145.71428571428572</v>
      </c>
      <c r="U9" s="2568">
        <f t="shared" si="1"/>
        <v>145.71428571428572</v>
      </c>
      <c r="V9" s="2568">
        <f t="shared" si="1"/>
        <v>145.71428571428572</v>
      </c>
      <c r="W9" s="2568">
        <f t="shared" si="1"/>
        <v>145.71428571428572</v>
      </c>
      <c r="X9" s="541"/>
      <c r="Y9" s="541"/>
      <c r="Z9" s="541"/>
      <c r="AA9" s="541"/>
      <c r="AB9" s="541"/>
    </row>
    <row r="10" spans="1:105" s="160" customFormat="1" ht="24">
      <c r="A10" s="765">
        <v>2</v>
      </c>
      <c r="B10" s="766" t="s">
        <v>508</v>
      </c>
      <c r="C10" s="1610">
        <v>852657</v>
      </c>
      <c r="D10" s="1610">
        <v>900000</v>
      </c>
      <c r="E10" s="1610">
        <v>850000</v>
      </c>
      <c r="F10" s="1610">
        <v>850000</v>
      </c>
      <c r="G10" s="1610">
        <v>850000</v>
      </c>
      <c r="H10" s="1610">
        <v>850000</v>
      </c>
      <c r="I10" s="1610">
        <v>850000</v>
      </c>
      <c r="J10" s="1610">
        <v>104.76244</v>
      </c>
      <c r="K10" s="1610">
        <v>118</v>
      </c>
      <c r="L10" s="1610">
        <v>112</v>
      </c>
      <c r="M10" s="1610">
        <v>112</v>
      </c>
      <c r="N10" s="1610">
        <v>112</v>
      </c>
      <c r="O10" s="1610">
        <v>112</v>
      </c>
      <c r="P10" s="1610">
        <v>112</v>
      </c>
      <c r="Q10" s="2568">
        <f t="shared" ref="Q10:Q11" si="2">IFERROR((J10*1000)/(C10/1000),0)</f>
        <v>122.86586517204456</v>
      </c>
      <c r="R10" s="2568">
        <f t="shared" ref="R10:R11" si="3">IFERROR((K10*1000)/(D10/1000),0)</f>
        <v>131.11111111111111</v>
      </c>
      <c r="S10" s="2568">
        <f t="shared" ref="S10:S11" si="4">IFERROR((L10*1000)/(E10/1000),0)</f>
        <v>131.76470588235293</v>
      </c>
      <c r="T10" s="2568">
        <f t="shared" ref="T10:T11" si="5">IFERROR((M10*1000)/(F10/1000),0)</f>
        <v>131.76470588235293</v>
      </c>
      <c r="U10" s="2568">
        <f t="shared" ref="U10:U11" si="6">IFERROR((N10*1000)/(G10/1000),0)</f>
        <v>131.76470588235293</v>
      </c>
      <c r="V10" s="2568">
        <f t="shared" ref="V10:V11" si="7">IFERROR((O10*1000)/(H10/1000),0)</f>
        <v>131.76470588235293</v>
      </c>
      <c r="W10" s="2568">
        <f t="shared" ref="W10:W11" si="8">IFERROR((P10*1000)/(I10/1000),0)</f>
        <v>131.76470588235293</v>
      </c>
      <c r="X10" s="542"/>
      <c r="Y10" s="541"/>
      <c r="Z10" s="541"/>
      <c r="AA10" s="541"/>
      <c r="AB10" s="542"/>
    </row>
    <row r="11" spans="1:105" s="160" customFormat="1" ht="24">
      <c r="A11" s="765">
        <v>3</v>
      </c>
      <c r="B11" s="766" t="s">
        <v>509</v>
      </c>
      <c r="C11" s="1610">
        <v>0</v>
      </c>
      <c r="D11" s="2634">
        <v>0</v>
      </c>
      <c r="E11" s="2634">
        <v>0</v>
      </c>
      <c r="F11" s="1610">
        <v>0</v>
      </c>
      <c r="G11" s="2634">
        <v>0</v>
      </c>
      <c r="H11" s="2634">
        <v>0</v>
      </c>
      <c r="I11" s="1610">
        <v>0</v>
      </c>
      <c r="J11" s="1610">
        <v>0</v>
      </c>
      <c r="K11" s="2634">
        <v>0</v>
      </c>
      <c r="L11" s="2634">
        <v>0</v>
      </c>
      <c r="M11" s="1610">
        <v>0</v>
      </c>
      <c r="N11" s="2634">
        <v>0</v>
      </c>
      <c r="O11" s="2634">
        <v>0</v>
      </c>
      <c r="P11" s="1610">
        <v>0</v>
      </c>
      <c r="Q11" s="2568">
        <f t="shared" si="2"/>
        <v>0</v>
      </c>
      <c r="R11" s="2568">
        <f t="shared" si="3"/>
        <v>0</v>
      </c>
      <c r="S11" s="2568">
        <f t="shared" si="4"/>
        <v>0</v>
      </c>
      <c r="T11" s="2568">
        <f t="shared" si="5"/>
        <v>0</v>
      </c>
      <c r="U11" s="2568">
        <f t="shared" si="6"/>
        <v>0</v>
      </c>
      <c r="V11" s="2568">
        <f t="shared" si="7"/>
        <v>0</v>
      </c>
      <c r="W11" s="2568">
        <f t="shared" si="8"/>
        <v>0</v>
      </c>
      <c r="X11" s="542"/>
      <c r="Y11" s="542"/>
      <c r="Z11" s="542"/>
      <c r="AA11" s="542"/>
      <c r="AB11" s="542"/>
    </row>
    <row r="12" spans="1:105" s="160" customFormat="1" ht="26.25" customHeight="1">
      <c r="A12" s="2573">
        <v>4</v>
      </c>
      <c r="B12" s="2589" t="s">
        <v>506</v>
      </c>
      <c r="C12" s="2573">
        <f>C9+C10+C11</f>
        <v>11527797</v>
      </c>
      <c r="D12" s="2573">
        <f t="shared" ref="D12:P12" si="9">D9+D10+D11</f>
        <v>11361574</v>
      </c>
      <c r="E12" s="2573">
        <f t="shared" si="9"/>
        <v>11350000</v>
      </c>
      <c r="F12" s="2573">
        <f t="shared" si="9"/>
        <v>11350000</v>
      </c>
      <c r="G12" s="2573">
        <f t="shared" si="9"/>
        <v>11350000</v>
      </c>
      <c r="H12" s="2573">
        <f t="shared" si="9"/>
        <v>11350000</v>
      </c>
      <c r="I12" s="2573">
        <f t="shared" si="9"/>
        <v>11350000</v>
      </c>
      <c r="J12" s="2573">
        <f t="shared" si="9"/>
        <v>1666.0461300000002</v>
      </c>
      <c r="K12" s="2573">
        <f t="shared" si="9"/>
        <v>1662</v>
      </c>
      <c r="L12" s="2573">
        <f t="shared" si="9"/>
        <v>1642</v>
      </c>
      <c r="M12" s="2573">
        <f t="shared" si="9"/>
        <v>1642</v>
      </c>
      <c r="N12" s="2573">
        <f t="shared" si="9"/>
        <v>1642</v>
      </c>
      <c r="O12" s="2573">
        <f t="shared" si="9"/>
        <v>1642</v>
      </c>
      <c r="P12" s="2573">
        <f t="shared" si="9"/>
        <v>1642</v>
      </c>
      <c r="Q12" s="2570">
        <f t="shared" ref="Q12" si="10">IFERROR((J12*1000)/(C12/1000),0)</f>
        <v>144.5242425764437</v>
      </c>
      <c r="R12" s="2570">
        <f t="shared" ref="R12" si="11">IFERROR((K12*1000)/(D12/1000),0)</f>
        <v>146.28254852716708</v>
      </c>
      <c r="S12" s="2570">
        <f t="shared" ref="S12" si="12">IFERROR((L12*1000)/(E12/1000),0)</f>
        <v>144.66960352422907</v>
      </c>
      <c r="T12" s="2570">
        <f t="shared" ref="T12" si="13">IFERROR((M12*1000)/(F12/1000),0)</f>
        <v>144.66960352422907</v>
      </c>
      <c r="U12" s="2570">
        <f t="shared" ref="U12" si="14">IFERROR((N12*1000)/(G12/1000),0)</f>
        <v>144.66960352422907</v>
      </c>
      <c r="V12" s="2570">
        <f t="shared" ref="V12" si="15">IFERROR((O12*1000)/(H12/1000),0)</f>
        <v>144.66960352422907</v>
      </c>
      <c r="W12" s="2570">
        <f t="shared" ref="W12" si="16">IFERROR((P12*1000)/(I12/1000),0)</f>
        <v>144.66960352422907</v>
      </c>
      <c r="X12" s="542"/>
      <c r="Y12" s="542"/>
      <c r="Z12" s="542"/>
      <c r="AA12" s="542"/>
      <c r="AB12" s="542"/>
    </row>
    <row r="13" spans="1:105" ht="22.5" customHeight="1">
      <c r="A13" s="2584">
        <v>5</v>
      </c>
      <c r="B13" s="766" t="s">
        <v>511</v>
      </c>
      <c r="C13" s="2571"/>
      <c r="D13" s="2574">
        <f t="shared" ref="D13:I13" si="17">D12-C12</f>
        <v>-166223</v>
      </c>
      <c r="E13" s="2574">
        <f t="shared" si="17"/>
        <v>-11574</v>
      </c>
      <c r="F13" s="2574">
        <f t="shared" si="17"/>
        <v>0</v>
      </c>
      <c r="G13" s="2574">
        <f t="shared" si="17"/>
        <v>0</v>
      </c>
      <c r="H13" s="2574">
        <f t="shared" si="17"/>
        <v>0</v>
      </c>
      <c r="I13" s="2574">
        <f t="shared" si="17"/>
        <v>0</v>
      </c>
      <c r="J13" s="2571"/>
      <c r="K13" s="2574">
        <f t="shared" ref="K13:P13" si="18">K12-J12</f>
        <v>-4.0461300000001756</v>
      </c>
      <c r="L13" s="2574">
        <f t="shared" si="18"/>
        <v>-20</v>
      </c>
      <c r="M13" s="2574">
        <f t="shared" si="18"/>
        <v>0</v>
      </c>
      <c r="N13" s="2574">
        <f t="shared" si="18"/>
        <v>0</v>
      </c>
      <c r="O13" s="2574">
        <f t="shared" si="18"/>
        <v>0</v>
      </c>
      <c r="P13" s="2574">
        <f t="shared" si="18"/>
        <v>0</v>
      </c>
      <c r="Q13" s="2571"/>
      <c r="R13" s="2572">
        <f t="shared" ref="R13:W13" si="19">R12-Q12</f>
        <v>1.7583059507233827</v>
      </c>
      <c r="S13" s="2572">
        <f t="shared" si="19"/>
        <v>-1.6129450029380052</v>
      </c>
      <c r="T13" s="2572">
        <f t="shared" si="19"/>
        <v>0</v>
      </c>
      <c r="U13" s="2572">
        <f t="shared" si="19"/>
        <v>0</v>
      </c>
      <c r="V13" s="2572">
        <f t="shared" si="19"/>
        <v>0</v>
      </c>
      <c r="W13" s="2572">
        <f t="shared" si="19"/>
        <v>0</v>
      </c>
    </row>
    <row r="14" spans="1:105" ht="22.5" customHeight="1">
      <c r="A14" s="2592">
        <v>6</v>
      </c>
      <c r="B14" s="2585" t="s">
        <v>1188</v>
      </c>
      <c r="C14" s="2575">
        <f>C12/'4. Отчет и прогн. потребление'!D10</f>
        <v>0.50412503815552057</v>
      </c>
      <c r="D14" s="2575">
        <f>D12/'4. Отчет и прогн. потребление'!E10</f>
        <v>0.51631783685526011</v>
      </c>
      <c r="E14" s="2575">
        <f>E12/'4. Отчет и прогн. потребление'!F10</f>
        <v>0.48919535553188359</v>
      </c>
      <c r="F14" s="2575">
        <f>F12/'4. Отчет и прогн. потребление'!G10</f>
        <v>0.48919535553188359</v>
      </c>
      <c r="G14" s="2575">
        <f>G12/'4. Отчет и прогн. потребление'!H10</f>
        <v>0.48919535553188359</v>
      </c>
      <c r="H14" s="2575">
        <f>H12/'4. Отчет и прогн. потребление'!I10</f>
        <v>0.51590909090909087</v>
      </c>
      <c r="I14" s="2576">
        <f>I12/'4. Отчет и прогн. потребление'!J10</f>
        <v>0.55231143552311435</v>
      </c>
      <c r="J14" s="2571"/>
      <c r="K14" s="2571"/>
      <c r="L14" s="2571"/>
      <c r="M14" s="2571"/>
      <c r="N14" s="2571"/>
      <c r="O14" s="2571"/>
      <c r="P14" s="2571"/>
      <c r="Q14" s="2571"/>
      <c r="R14" s="2571"/>
      <c r="S14" s="2571"/>
      <c r="T14" s="2571"/>
      <c r="U14" s="2571"/>
      <c r="V14" s="2571"/>
      <c r="W14" s="2571"/>
    </row>
    <row r="15" spans="1:105" ht="24">
      <c r="A15" s="2592">
        <v>7</v>
      </c>
      <c r="B15" s="2585" t="s">
        <v>1189</v>
      </c>
      <c r="C15" s="2575">
        <f>C12/'4. Отчет и прогн. потребление'!D21</f>
        <v>1.4657421868195568</v>
      </c>
      <c r="D15" s="2575">
        <f>D12/'4. Отчет и прогн. потребление'!E21</f>
        <v>1.4689094599661268</v>
      </c>
      <c r="E15" s="2575">
        <f>E12/'4. Отчет и прогн. потребление'!F21</f>
        <v>1.3507394257036787</v>
      </c>
      <c r="F15" s="2575">
        <f>F12/'4. Отчет и прогн. потребление'!G21</f>
        <v>1.3507394257036787</v>
      </c>
      <c r="G15" s="2575">
        <f>G12/'4. Отчет и прогн. потребление'!H21</f>
        <v>1.3507394257036787</v>
      </c>
      <c r="H15" s="2575">
        <f>H12/'4. Отчет и прогн. потребление'!I21</f>
        <v>1.3916988535344246</v>
      </c>
      <c r="I15" s="2576">
        <f>I12/'4. Отчет и прогн. потребление'!J21</f>
        <v>1.4541960281870596</v>
      </c>
      <c r="J15" s="2571"/>
      <c r="K15" s="2571"/>
      <c r="L15" s="2571"/>
      <c r="M15" s="2571"/>
      <c r="N15" s="2571"/>
      <c r="O15" s="2571"/>
      <c r="P15" s="2571"/>
      <c r="Q15" s="2571"/>
      <c r="R15" s="2571"/>
      <c r="S15" s="2571"/>
      <c r="T15" s="2571"/>
      <c r="U15" s="2571"/>
      <c r="V15" s="2571"/>
      <c r="W15" s="2571"/>
    </row>
    <row r="16" spans="1:105" s="1541" customFormat="1" ht="12" customHeight="1">
      <c r="A16" s="1547"/>
      <c r="B16" s="598"/>
      <c r="C16" s="1548"/>
      <c r="D16" s="1549"/>
      <c r="E16" s="1550"/>
      <c r="F16" s="1550"/>
      <c r="G16" s="1550"/>
      <c r="H16" s="1550"/>
      <c r="I16" s="1550"/>
      <c r="J16" s="1548"/>
      <c r="K16" s="1549"/>
      <c r="L16" s="1550"/>
      <c r="M16" s="1550"/>
      <c r="N16" s="1550"/>
      <c r="O16" s="1550"/>
      <c r="P16" s="1550"/>
      <c r="Q16" s="1548"/>
      <c r="R16" s="1549"/>
      <c r="S16" s="1550"/>
      <c r="T16" s="1550"/>
      <c r="U16" s="1550"/>
      <c r="V16" s="1550"/>
      <c r="W16" s="1550"/>
      <c r="X16" s="1542"/>
      <c r="Y16" s="1542"/>
      <c r="Z16" s="1542"/>
      <c r="AA16" s="1542"/>
      <c r="AB16" s="1542"/>
    </row>
    <row r="17" spans="1:28" s="1541" customFormat="1" ht="21" customHeight="1">
      <c r="A17" s="3393" t="s">
        <v>913</v>
      </c>
      <c r="B17" s="3394"/>
      <c r="C17" s="3395"/>
      <c r="D17" s="2577"/>
      <c r="E17" s="2578"/>
      <c r="F17" s="2578"/>
      <c r="G17" s="2578"/>
      <c r="H17" s="2578"/>
      <c r="I17" s="2579"/>
      <c r="J17" s="2580">
        <f>J12-'12. Разходи'!C17</f>
        <v>4.6130000000175642E-2</v>
      </c>
      <c r="K17" s="2580">
        <f>K12-'12. Разходи'!D17</f>
        <v>0</v>
      </c>
      <c r="L17" s="2580">
        <f>L12-'12. Разходи'!E17</f>
        <v>0</v>
      </c>
      <c r="M17" s="2580">
        <f>M12-'12. Разходи'!F17</f>
        <v>0</v>
      </c>
      <c r="N17" s="2580">
        <f>N12-'12. Разходи'!G17</f>
        <v>0</v>
      </c>
      <c r="O17" s="2580">
        <f>O12-'12. Разходи'!H17</f>
        <v>0</v>
      </c>
      <c r="P17" s="2580">
        <f>P12-'12. Разходи'!I17</f>
        <v>0</v>
      </c>
      <c r="Q17" s="1548"/>
      <c r="R17" s="1549"/>
      <c r="S17" s="1550"/>
      <c r="T17" s="1550"/>
      <c r="U17" s="1550"/>
      <c r="V17" s="1550"/>
      <c r="W17" s="1550"/>
      <c r="X17" s="1542"/>
      <c r="Y17" s="1542"/>
      <c r="Z17" s="1542"/>
      <c r="AA17" s="1542"/>
      <c r="AB17" s="1542"/>
    </row>
    <row r="18" spans="1:28" s="1541" customFormat="1" ht="20.25" customHeight="1">
      <c r="A18" s="1551"/>
      <c r="B18" s="1552"/>
      <c r="C18" s="1550"/>
      <c r="D18" s="1549"/>
      <c r="E18" s="1550"/>
      <c r="F18" s="1550"/>
      <c r="G18" s="1550"/>
      <c r="H18" s="1550"/>
      <c r="I18" s="1550"/>
      <c r="J18" s="1548"/>
      <c r="K18" s="1549"/>
      <c r="L18" s="1550"/>
      <c r="M18" s="1550"/>
      <c r="N18" s="1550"/>
      <c r="O18" s="1550"/>
      <c r="P18" s="1550"/>
      <c r="Q18" s="1548"/>
      <c r="R18" s="1549"/>
      <c r="S18" s="1550"/>
      <c r="T18" s="1550"/>
      <c r="U18" s="1550"/>
      <c r="V18" s="1550"/>
      <c r="W18" s="1550"/>
      <c r="X18" s="1542"/>
      <c r="Y18" s="1542"/>
      <c r="Z18" s="1542"/>
      <c r="AA18" s="1542"/>
      <c r="AB18" s="1542"/>
    </row>
    <row r="19" spans="1:28" ht="24" customHeight="1">
      <c r="A19" s="3396" t="s">
        <v>1</v>
      </c>
      <c r="B19" s="3396" t="s">
        <v>502</v>
      </c>
      <c r="C19" s="3396" t="s">
        <v>271</v>
      </c>
      <c r="D19" s="3396"/>
      <c r="E19" s="3396"/>
      <c r="F19" s="3396"/>
      <c r="G19" s="3396"/>
      <c r="H19" s="3396"/>
      <c r="I19" s="3396"/>
      <c r="J19" s="3396"/>
      <c r="K19" s="3396"/>
      <c r="L19" s="3396"/>
      <c r="M19" s="3396"/>
      <c r="N19" s="3396"/>
      <c r="O19" s="3396"/>
      <c r="P19" s="3396"/>
      <c r="Q19" s="3396"/>
      <c r="R19" s="3396"/>
      <c r="S19" s="3396"/>
      <c r="T19" s="3396"/>
      <c r="U19" s="3396"/>
      <c r="V19" s="3396"/>
      <c r="W19" s="3396"/>
    </row>
    <row r="20" spans="1:28" ht="24" customHeight="1">
      <c r="A20" s="3397"/>
      <c r="B20" s="3397"/>
      <c r="C20" s="3398" t="s">
        <v>503</v>
      </c>
      <c r="D20" s="3398"/>
      <c r="E20" s="3398"/>
      <c r="F20" s="3398"/>
      <c r="G20" s="3398"/>
      <c r="H20" s="3398"/>
      <c r="I20" s="3398"/>
      <c r="J20" s="3398" t="s">
        <v>1186</v>
      </c>
      <c r="K20" s="3398"/>
      <c r="L20" s="3398"/>
      <c r="M20" s="3398"/>
      <c r="N20" s="3398"/>
      <c r="O20" s="3398"/>
      <c r="P20" s="3398"/>
      <c r="Q20" s="3398" t="s">
        <v>1187</v>
      </c>
      <c r="R20" s="3398"/>
      <c r="S20" s="3398"/>
      <c r="T20" s="3398"/>
      <c r="U20" s="3398"/>
      <c r="V20" s="3398"/>
      <c r="W20" s="3398"/>
    </row>
    <row r="21" spans="1:28" ht="24" customHeight="1">
      <c r="A21" s="3397"/>
      <c r="B21" s="3397"/>
      <c r="C21" s="1545" t="str">
        <f>'Приложение '!G12</f>
        <v>2015 г.</v>
      </c>
      <c r="D21" s="1545" t="str">
        <f>'Приложение '!$G13</f>
        <v>2016 г.</v>
      </c>
      <c r="E21" s="1545" t="str">
        <f>'Приложение '!$G14</f>
        <v>2017 г.</v>
      </c>
      <c r="F21" s="1545" t="str">
        <f>'Приложение '!$G15</f>
        <v>2018 г.</v>
      </c>
      <c r="G21" s="1545" t="str">
        <f>'Приложение '!$G16</f>
        <v>2019 г.</v>
      </c>
      <c r="H21" s="1545" t="str">
        <f>'Приложение '!$G17</f>
        <v>2020 г.</v>
      </c>
      <c r="I21" s="1545" t="str">
        <f>'Приложение '!$G18</f>
        <v>2021 г.</v>
      </c>
      <c r="J21" s="1545" t="str">
        <f>C21</f>
        <v>2015 г.</v>
      </c>
      <c r="K21" s="1545" t="str">
        <f t="shared" ref="K21" si="20">D21</f>
        <v>2016 г.</v>
      </c>
      <c r="L21" s="1545" t="str">
        <f t="shared" ref="L21" si="21">E21</f>
        <v>2017 г.</v>
      </c>
      <c r="M21" s="1545" t="str">
        <f t="shared" ref="M21" si="22">F21</f>
        <v>2018 г.</v>
      </c>
      <c r="N21" s="1545" t="str">
        <f t="shared" ref="N21" si="23">G21</f>
        <v>2019 г.</v>
      </c>
      <c r="O21" s="1545" t="str">
        <f t="shared" ref="O21" si="24">H21</f>
        <v>2020 г.</v>
      </c>
      <c r="P21" s="1545" t="str">
        <f t="shared" ref="P21" si="25">I21</f>
        <v>2021 г.</v>
      </c>
      <c r="Q21" s="1545" t="str">
        <f t="shared" ref="Q21" si="26">J21</f>
        <v>2015 г.</v>
      </c>
      <c r="R21" s="1545" t="str">
        <f t="shared" ref="R21" si="27">K21</f>
        <v>2016 г.</v>
      </c>
      <c r="S21" s="1545" t="str">
        <f t="shared" ref="S21" si="28">L21</f>
        <v>2017 г.</v>
      </c>
      <c r="T21" s="1545" t="str">
        <f t="shared" ref="T21" si="29">M21</f>
        <v>2018 г.</v>
      </c>
      <c r="U21" s="1545" t="str">
        <f t="shared" ref="U21" si="30">N21</f>
        <v>2019 г.</v>
      </c>
      <c r="V21" s="1545" t="str">
        <f t="shared" ref="V21" si="31">O21</f>
        <v>2020 г.</v>
      </c>
      <c r="W21" s="1545" t="str">
        <f t="shared" ref="W21" si="32">P21</f>
        <v>2021 г.</v>
      </c>
    </row>
    <row r="22" spans="1:28" ht="23.25" customHeight="1">
      <c r="A22" s="765">
        <v>1</v>
      </c>
      <c r="B22" s="766" t="s">
        <v>507</v>
      </c>
      <c r="C22" s="1610">
        <v>23383</v>
      </c>
      <c r="D22" s="2634">
        <v>0</v>
      </c>
      <c r="E22" s="2634">
        <v>50000</v>
      </c>
      <c r="F22" s="1610">
        <v>50000</v>
      </c>
      <c r="G22" s="2634">
        <v>50000</v>
      </c>
      <c r="H22" s="2634">
        <v>50000</v>
      </c>
      <c r="I22" s="1610">
        <v>50000</v>
      </c>
      <c r="J22" s="1610">
        <v>3.5338500000000002</v>
      </c>
      <c r="K22" s="2634">
        <v>0</v>
      </c>
      <c r="L22" s="2634">
        <v>8.5</v>
      </c>
      <c r="M22" s="1610">
        <v>8.5</v>
      </c>
      <c r="N22" s="2634">
        <v>8.5</v>
      </c>
      <c r="O22" s="2634">
        <v>8.5</v>
      </c>
      <c r="P22" s="1610">
        <v>8.5</v>
      </c>
      <c r="Q22" s="2568">
        <f t="shared" ref="Q22:Q25" si="33">IFERROR((J22*1000)/(C22/1000),0)</f>
        <v>151.12902536030452</v>
      </c>
      <c r="R22" s="2569">
        <f t="shared" ref="R22:R25" si="34">IFERROR((K22*1000)/(D22/1000),0)</f>
        <v>0</v>
      </c>
      <c r="S22" s="2568">
        <f t="shared" ref="S22:S25" si="35">IFERROR((L22*1000)/(E22/1000),0)</f>
        <v>170</v>
      </c>
      <c r="T22" s="2568">
        <f t="shared" ref="T22:T25" si="36">IFERROR((M22*1000)/(F22/1000),0)</f>
        <v>170</v>
      </c>
      <c r="U22" s="2568">
        <f t="shared" ref="U22:U25" si="37">IFERROR((N22*1000)/(G22/1000),0)</f>
        <v>170</v>
      </c>
      <c r="V22" s="2568">
        <f t="shared" ref="V22:V25" si="38">IFERROR((O22*1000)/(H22/1000),0)</f>
        <v>170</v>
      </c>
      <c r="W22" s="2568">
        <f t="shared" ref="W22:W25" si="39">IFERROR((P22*1000)/(I22/1000),0)</f>
        <v>170</v>
      </c>
    </row>
    <row r="23" spans="1:28" ht="24">
      <c r="A23" s="765">
        <v>2</v>
      </c>
      <c r="B23" s="766" t="s">
        <v>508</v>
      </c>
      <c r="C23" s="1610">
        <v>102732</v>
      </c>
      <c r="D23" s="2634">
        <v>230000</v>
      </c>
      <c r="E23" s="2634">
        <v>100000</v>
      </c>
      <c r="F23" s="1610">
        <v>100000</v>
      </c>
      <c r="G23" s="2634">
        <v>100000</v>
      </c>
      <c r="H23" s="2634">
        <v>100000</v>
      </c>
      <c r="I23" s="1610">
        <v>100000</v>
      </c>
      <c r="J23" s="1610">
        <v>20.73</v>
      </c>
      <c r="K23" s="2634">
        <v>32</v>
      </c>
      <c r="L23" s="2634">
        <v>19</v>
      </c>
      <c r="M23" s="1610">
        <v>19</v>
      </c>
      <c r="N23" s="2634">
        <v>19</v>
      </c>
      <c r="O23" s="2634">
        <v>19</v>
      </c>
      <c r="P23" s="1610">
        <v>19</v>
      </c>
      <c r="Q23" s="2568">
        <f t="shared" si="33"/>
        <v>201.78717439551454</v>
      </c>
      <c r="R23" s="2568">
        <f t="shared" si="34"/>
        <v>139.13043478260869</v>
      </c>
      <c r="S23" s="2568">
        <f t="shared" si="35"/>
        <v>190</v>
      </c>
      <c r="T23" s="2568">
        <f t="shared" si="36"/>
        <v>190</v>
      </c>
      <c r="U23" s="2568">
        <f t="shared" si="37"/>
        <v>190</v>
      </c>
      <c r="V23" s="2568">
        <f t="shared" si="38"/>
        <v>190</v>
      </c>
      <c r="W23" s="2568">
        <f t="shared" si="39"/>
        <v>190</v>
      </c>
    </row>
    <row r="24" spans="1:28" ht="24">
      <c r="A24" s="765">
        <v>3</v>
      </c>
      <c r="B24" s="766" t="s">
        <v>509</v>
      </c>
      <c r="C24" s="1610">
        <v>0</v>
      </c>
      <c r="D24" s="2634">
        <v>0</v>
      </c>
      <c r="E24" s="2634">
        <v>0</v>
      </c>
      <c r="F24" s="1610">
        <v>0</v>
      </c>
      <c r="G24" s="2634">
        <v>0</v>
      </c>
      <c r="H24" s="2634">
        <v>0</v>
      </c>
      <c r="I24" s="1610">
        <v>0</v>
      </c>
      <c r="J24" s="1610">
        <v>0</v>
      </c>
      <c r="K24" s="2634">
        <v>0</v>
      </c>
      <c r="L24" s="2634">
        <v>0</v>
      </c>
      <c r="M24" s="1610">
        <v>0</v>
      </c>
      <c r="N24" s="2634">
        <v>0</v>
      </c>
      <c r="O24" s="2634">
        <v>0</v>
      </c>
      <c r="P24" s="1610">
        <v>0</v>
      </c>
      <c r="Q24" s="2568">
        <f t="shared" si="33"/>
        <v>0</v>
      </c>
      <c r="R24" s="2568">
        <f t="shared" si="34"/>
        <v>0</v>
      </c>
      <c r="S24" s="2568">
        <f t="shared" si="35"/>
        <v>0</v>
      </c>
      <c r="T24" s="2568">
        <f t="shared" si="36"/>
        <v>0</v>
      </c>
      <c r="U24" s="2568">
        <f t="shared" si="37"/>
        <v>0</v>
      </c>
      <c r="V24" s="2568">
        <f t="shared" si="38"/>
        <v>0</v>
      </c>
      <c r="W24" s="2568">
        <f t="shared" si="39"/>
        <v>0</v>
      </c>
    </row>
    <row r="25" spans="1:28" ht="19.5" customHeight="1">
      <c r="A25" s="2573">
        <v>4</v>
      </c>
      <c r="B25" s="2589" t="s">
        <v>506</v>
      </c>
      <c r="C25" s="2573">
        <f>C22+C23+C24</f>
        <v>126115</v>
      </c>
      <c r="D25" s="2573">
        <f t="shared" ref="D25:P25" si="40">D22+D23+D24</f>
        <v>230000</v>
      </c>
      <c r="E25" s="2573">
        <f t="shared" si="40"/>
        <v>150000</v>
      </c>
      <c r="F25" s="2573">
        <f t="shared" si="40"/>
        <v>150000</v>
      </c>
      <c r="G25" s="2573">
        <f t="shared" si="40"/>
        <v>150000</v>
      </c>
      <c r="H25" s="2573">
        <f t="shared" si="40"/>
        <v>150000</v>
      </c>
      <c r="I25" s="2573">
        <f t="shared" si="40"/>
        <v>150000</v>
      </c>
      <c r="J25" s="2573">
        <f t="shared" si="40"/>
        <v>24.263850000000001</v>
      </c>
      <c r="K25" s="2573">
        <f t="shared" si="40"/>
        <v>32</v>
      </c>
      <c r="L25" s="2573">
        <f t="shared" si="40"/>
        <v>27.5</v>
      </c>
      <c r="M25" s="2573">
        <f t="shared" si="40"/>
        <v>27.5</v>
      </c>
      <c r="N25" s="2573">
        <f t="shared" si="40"/>
        <v>27.5</v>
      </c>
      <c r="O25" s="2573">
        <f t="shared" si="40"/>
        <v>27.5</v>
      </c>
      <c r="P25" s="2573">
        <f t="shared" si="40"/>
        <v>27.5</v>
      </c>
      <c r="Q25" s="2570">
        <f t="shared" si="33"/>
        <v>192.39463981286923</v>
      </c>
      <c r="R25" s="2570">
        <f t="shared" si="34"/>
        <v>139.13043478260869</v>
      </c>
      <c r="S25" s="2570">
        <f t="shared" si="35"/>
        <v>183.33333333333334</v>
      </c>
      <c r="T25" s="2570">
        <f t="shared" si="36"/>
        <v>183.33333333333334</v>
      </c>
      <c r="U25" s="2570">
        <f t="shared" si="37"/>
        <v>183.33333333333334</v>
      </c>
      <c r="V25" s="2570">
        <f t="shared" si="38"/>
        <v>183.33333333333334</v>
      </c>
      <c r="W25" s="2570">
        <f t="shared" si="39"/>
        <v>183.33333333333334</v>
      </c>
    </row>
    <row r="26" spans="1:28" ht="19.5" customHeight="1">
      <c r="A26" s="2584">
        <v>5</v>
      </c>
      <c r="B26" s="766" t="s">
        <v>511</v>
      </c>
      <c r="C26" s="2571"/>
      <c r="D26" s="2574">
        <f t="shared" ref="D26:I26" si="41">D25-C25</f>
        <v>103885</v>
      </c>
      <c r="E26" s="2574">
        <f t="shared" si="41"/>
        <v>-80000</v>
      </c>
      <c r="F26" s="2574">
        <f t="shared" si="41"/>
        <v>0</v>
      </c>
      <c r="G26" s="2574">
        <f t="shared" si="41"/>
        <v>0</v>
      </c>
      <c r="H26" s="2574">
        <f t="shared" si="41"/>
        <v>0</v>
      </c>
      <c r="I26" s="2574">
        <f t="shared" si="41"/>
        <v>0</v>
      </c>
      <c r="J26" s="2571"/>
      <c r="K26" s="2574">
        <f t="shared" ref="K26:P26" si="42">K25-J25</f>
        <v>7.7361499999999985</v>
      </c>
      <c r="L26" s="2574">
        <f t="shared" si="42"/>
        <v>-4.5</v>
      </c>
      <c r="M26" s="2574">
        <f t="shared" si="42"/>
        <v>0</v>
      </c>
      <c r="N26" s="2574">
        <f t="shared" si="42"/>
        <v>0</v>
      </c>
      <c r="O26" s="2574">
        <f t="shared" si="42"/>
        <v>0</v>
      </c>
      <c r="P26" s="2574">
        <f t="shared" si="42"/>
        <v>0</v>
      </c>
      <c r="Q26" s="2571"/>
      <c r="R26" s="2572">
        <f t="shared" ref="R26:W26" si="43">R25-Q25</f>
        <v>-53.264205030260541</v>
      </c>
      <c r="S26" s="2572">
        <f t="shared" si="43"/>
        <v>44.202898550724655</v>
      </c>
      <c r="T26" s="2572">
        <f t="shared" si="43"/>
        <v>0</v>
      </c>
      <c r="U26" s="2572">
        <f t="shared" si="43"/>
        <v>0</v>
      </c>
      <c r="V26" s="2572">
        <f t="shared" si="43"/>
        <v>0</v>
      </c>
      <c r="W26" s="2572">
        <f t="shared" si="43"/>
        <v>0</v>
      </c>
    </row>
    <row r="27" spans="1:28" ht="24">
      <c r="A27" s="2584">
        <v>6</v>
      </c>
      <c r="B27" s="2585" t="s">
        <v>1189</v>
      </c>
      <c r="C27" s="2575">
        <f>C25/'4. Отчет и прогн. потребление'!D53</f>
        <v>3.0687453463303534E-2</v>
      </c>
      <c r="D27" s="2575">
        <f>D25/'4. Отчет и прогн. потребление'!E53</f>
        <v>5.3488372093023255E-2</v>
      </c>
      <c r="E27" s="2575">
        <f>E25/'4. Отчет и прогн. потребление'!F53</f>
        <v>3.7085064484746293E-2</v>
      </c>
      <c r="F27" s="2575">
        <f>F25/'4. Отчет и прогн. потребление'!G53</f>
        <v>3.5629453681710214E-2</v>
      </c>
      <c r="G27" s="2575">
        <f>G25/'4. Отчет и прогн. потребление'!H53</f>
        <v>3.5545023696682464E-2</v>
      </c>
      <c r="H27" s="2575">
        <f>H25/'4. Отчет и прогн. потребление'!I53</f>
        <v>3.5460992907801421E-2</v>
      </c>
      <c r="I27" s="2575">
        <f>I25/'4. Отчет и прогн. потребление'!J53</f>
        <v>3.5377358490566037E-2</v>
      </c>
      <c r="J27" s="2571"/>
      <c r="K27" s="2571"/>
      <c r="L27" s="2571"/>
      <c r="M27" s="2571"/>
      <c r="N27" s="2571"/>
      <c r="O27" s="2571"/>
      <c r="P27" s="2571"/>
      <c r="Q27" s="2571"/>
      <c r="R27" s="2571"/>
      <c r="S27" s="2571"/>
      <c r="T27" s="2571"/>
      <c r="U27" s="2571"/>
      <c r="V27" s="2571"/>
      <c r="W27" s="2571"/>
    </row>
    <row r="28" spans="1:28" s="1541" customFormat="1" ht="15">
      <c r="A28" s="2586"/>
      <c r="B28" s="598"/>
      <c r="C28" s="2581"/>
      <c r="D28" s="2582"/>
      <c r="E28" s="2583"/>
      <c r="F28" s="2583"/>
      <c r="G28" s="2583"/>
      <c r="H28" s="2583"/>
      <c r="I28" s="2583"/>
      <c r="J28" s="2581"/>
      <c r="K28" s="2582"/>
      <c r="L28" s="2583"/>
      <c r="M28" s="2583"/>
      <c r="N28" s="2583"/>
      <c r="O28" s="2583"/>
      <c r="P28" s="2583"/>
      <c r="Q28" s="2581"/>
      <c r="R28" s="2582"/>
      <c r="S28" s="2583"/>
      <c r="T28" s="2583"/>
      <c r="U28" s="2583"/>
      <c r="V28" s="2583"/>
      <c r="W28" s="2583"/>
      <c r="X28" s="1542"/>
      <c r="Y28" s="1542"/>
      <c r="Z28" s="1542"/>
      <c r="AA28" s="1542"/>
      <c r="AB28" s="1542"/>
    </row>
    <row r="29" spans="1:28" s="1541" customFormat="1" ht="22.5" customHeight="1">
      <c r="A29" s="3393" t="s">
        <v>913</v>
      </c>
      <c r="B29" s="3394"/>
      <c r="C29" s="3395"/>
      <c r="D29" s="2577"/>
      <c r="E29" s="2578"/>
      <c r="F29" s="2578"/>
      <c r="G29" s="2578"/>
      <c r="H29" s="2578"/>
      <c r="I29" s="2579"/>
      <c r="J29" s="2580">
        <f>J25-'12. Разходи'!J17</f>
        <v>0.26385000000000147</v>
      </c>
      <c r="K29" s="2580">
        <f>K25-'12. Разходи'!K17</f>
        <v>0</v>
      </c>
      <c r="L29" s="2580">
        <f>L25-'12. Разходи'!L17</f>
        <v>0</v>
      </c>
      <c r="M29" s="2580">
        <f>M25-'12. Разходи'!M17</f>
        <v>0</v>
      </c>
      <c r="N29" s="2580">
        <f>N25-'12. Разходи'!N17</f>
        <v>-0.5</v>
      </c>
      <c r="O29" s="2580">
        <f>O25-'12. Разходи'!O17</f>
        <v>0</v>
      </c>
      <c r="P29" s="2580">
        <f>P25-'12. Разходи'!P17</f>
        <v>0</v>
      </c>
      <c r="Q29" s="2581"/>
      <c r="R29" s="2582"/>
      <c r="S29" s="2583"/>
      <c r="T29" s="2583"/>
      <c r="U29" s="2583"/>
      <c r="V29" s="2583"/>
      <c r="W29" s="2583"/>
      <c r="X29" s="1542"/>
      <c r="Y29" s="1542"/>
      <c r="Z29" s="1542"/>
      <c r="AA29" s="1542"/>
      <c r="AB29" s="1542"/>
    </row>
    <row r="31" spans="1:28" ht="21.75" customHeight="1">
      <c r="A31" s="3396" t="s">
        <v>1</v>
      </c>
      <c r="B31" s="3396" t="s">
        <v>502</v>
      </c>
      <c r="C31" s="3396" t="s">
        <v>272</v>
      </c>
      <c r="D31" s="3396"/>
      <c r="E31" s="3396"/>
      <c r="F31" s="3396"/>
      <c r="G31" s="3396"/>
      <c r="H31" s="3396"/>
      <c r="I31" s="3396"/>
      <c r="J31" s="3396"/>
      <c r="K31" s="3396"/>
      <c r="L31" s="3396"/>
      <c r="M31" s="3396"/>
      <c r="N31" s="3396"/>
      <c r="O31" s="3396"/>
      <c r="P31" s="3396"/>
      <c r="Q31" s="3396"/>
      <c r="R31" s="3396"/>
      <c r="S31" s="3396"/>
      <c r="T31" s="3396"/>
      <c r="U31" s="3396"/>
      <c r="V31" s="3396"/>
      <c r="W31" s="3396"/>
    </row>
    <row r="32" spans="1:28" ht="21.75" customHeight="1">
      <c r="A32" s="3397"/>
      <c r="B32" s="3397"/>
      <c r="C32" s="3398" t="s">
        <v>503</v>
      </c>
      <c r="D32" s="3398"/>
      <c r="E32" s="3398"/>
      <c r="F32" s="3398"/>
      <c r="G32" s="3398"/>
      <c r="H32" s="3398"/>
      <c r="I32" s="3398"/>
      <c r="J32" s="3398" t="s">
        <v>504</v>
      </c>
      <c r="K32" s="3398"/>
      <c r="L32" s="3398"/>
      <c r="M32" s="3398"/>
      <c r="N32" s="3398"/>
      <c r="O32" s="3398"/>
      <c r="P32" s="3398"/>
      <c r="Q32" s="3398" t="s">
        <v>512</v>
      </c>
      <c r="R32" s="3398"/>
      <c r="S32" s="3398"/>
      <c r="T32" s="3398"/>
      <c r="U32" s="3398"/>
      <c r="V32" s="3398"/>
      <c r="W32" s="3398"/>
    </row>
    <row r="33" spans="1:28" ht="21.75" customHeight="1">
      <c r="A33" s="3397"/>
      <c r="B33" s="3397"/>
      <c r="C33" s="1545" t="str">
        <f t="shared" ref="C33:I33" si="44">C21</f>
        <v>2015 г.</v>
      </c>
      <c r="D33" s="1545" t="str">
        <f t="shared" si="44"/>
        <v>2016 г.</v>
      </c>
      <c r="E33" s="1545" t="str">
        <f t="shared" si="44"/>
        <v>2017 г.</v>
      </c>
      <c r="F33" s="1545" t="str">
        <f t="shared" si="44"/>
        <v>2018 г.</v>
      </c>
      <c r="G33" s="1545" t="str">
        <f t="shared" si="44"/>
        <v>2019 г.</v>
      </c>
      <c r="H33" s="1545" t="str">
        <f t="shared" si="44"/>
        <v>2020 г.</v>
      </c>
      <c r="I33" s="1545" t="str">
        <f t="shared" si="44"/>
        <v>2021 г.</v>
      </c>
      <c r="J33" s="1545" t="str">
        <f>C33</f>
        <v>2015 г.</v>
      </c>
      <c r="K33" s="1545" t="str">
        <f t="shared" ref="K33" si="45">D33</f>
        <v>2016 г.</v>
      </c>
      <c r="L33" s="1545" t="str">
        <f t="shared" ref="L33" si="46">E33</f>
        <v>2017 г.</v>
      </c>
      <c r="M33" s="1545" t="str">
        <f t="shared" ref="M33" si="47">F33</f>
        <v>2018 г.</v>
      </c>
      <c r="N33" s="1545" t="str">
        <f t="shared" ref="N33" si="48">G33</f>
        <v>2019 г.</v>
      </c>
      <c r="O33" s="1545" t="str">
        <f t="shared" ref="O33" si="49">H33</f>
        <v>2020 г.</v>
      </c>
      <c r="P33" s="1545" t="str">
        <f t="shared" ref="P33" si="50">I33</f>
        <v>2021 г.</v>
      </c>
      <c r="Q33" s="1545" t="str">
        <f t="shared" ref="Q33" si="51">J33</f>
        <v>2015 г.</v>
      </c>
      <c r="R33" s="1545" t="str">
        <f t="shared" ref="R33" si="52">K33</f>
        <v>2016 г.</v>
      </c>
      <c r="S33" s="1545" t="str">
        <f t="shared" ref="S33" si="53">L33</f>
        <v>2017 г.</v>
      </c>
      <c r="T33" s="1545" t="str">
        <f t="shared" ref="T33" si="54">M33</f>
        <v>2018 г.</v>
      </c>
      <c r="U33" s="1545" t="str">
        <f t="shared" ref="U33" si="55">N33</f>
        <v>2019 г.</v>
      </c>
      <c r="V33" s="1545" t="str">
        <f t="shared" ref="V33" si="56">O33</f>
        <v>2020 г.</v>
      </c>
      <c r="W33" s="1545" t="str">
        <f t="shared" ref="W33" si="57">P33</f>
        <v>2021 г.</v>
      </c>
    </row>
    <row r="34" spans="1:28" ht="21" customHeight="1">
      <c r="A34" s="765">
        <v>1</v>
      </c>
      <c r="B34" s="766" t="s">
        <v>507</v>
      </c>
      <c r="C34" s="1610">
        <v>0</v>
      </c>
      <c r="D34" s="2634">
        <v>0</v>
      </c>
      <c r="E34" s="2634">
        <v>0</v>
      </c>
      <c r="F34" s="1610">
        <v>0</v>
      </c>
      <c r="G34" s="2634">
        <v>0</v>
      </c>
      <c r="H34" s="2634">
        <v>0</v>
      </c>
      <c r="I34" s="1610">
        <v>0</v>
      </c>
      <c r="J34" s="1610">
        <v>0</v>
      </c>
      <c r="K34" s="2634">
        <v>0</v>
      </c>
      <c r="L34" s="2634">
        <v>0</v>
      </c>
      <c r="M34" s="1610">
        <v>0</v>
      </c>
      <c r="N34" s="2634">
        <v>0</v>
      </c>
      <c r="O34" s="2634">
        <v>0</v>
      </c>
      <c r="P34" s="1610">
        <v>0</v>
      </c>
      <c r="Q34" s="2568">
        <f t="shared" ref="Q34:Q37" si="58">IFERROR((J34*1000)/(C34/1000),0)</f>
        <v>0</v>
      </c>
      <c r="R34" s="2569">
        <f t="shared" ref="R34:R37" si="59">IFERROR((K34*1000)/(D34/1000),0)</f>
        <v>0</v>
      </c>
      <c r="S34" s="2568">
        <f t="shared" ref="S34:S37" si="60">IFERROR((L34*1000)/(E34/1000),0)</f>
        <v>0</v>
      </c>
      <c r="T34" s="2568">
        <f t="shared" ref="T34:T37" si="61">IFERROR((M34*1000)/(F34/1000),0)</f>
        <v>0</v>
      </c>
      <c r="U34" s="2568">
        <f t="shared" ref="U34:U37" si="62">IFERROR((N34*1000)/(G34/1000),0)</f>
        <v>0</v>
      </c>
      <c r="V34" s="2568">
        <f t="shared" ref="V34:V37" si="63">IFERROR((O34*1000)/(H34/1000),0)</f>
        <v>0</v>
      </c>
      <c r="W34" s="2568">
        <f t="shared" ref="W34:W37" si="64">IFERROR((P34*1000)/(I34/1000),0)</f>
        <v>0</v>
      </c>
    </row>
    <row r="35" spans="1:28" ht="24">
      <c r="A35" s="765">
        <v>2</v>
      </c>
      <c r="B35" s="766" t="s">
        <v>508</v>
      </c>
      <c r="C35" s="1610">
        <v>2649109</v>
      </c>
      <c r="D35" s="2634">
        <v>2600000</v>
      </c>
      <c r="E35" s="2634">
        <v>3000000</v>
      </c>
      <c r="F35" s="1610">
        <v>3000000</v>
      </c>
      <c r="G35" s="2634">
        <v>3000000</v>
      </c>
      <c r="H35" s="2634">
        <v>3000000</v>
      </c>
      <c r="I35" s="1610">
        <v>3000000</v>
      </c>
      <c r="J35" s="1610">
        <v>366.89767000000001</v>
      </c>
      <c r="K35" s="2634">
        <v>340</v>
      </c>
      <c r="L35" s="2634">
        <v>415</v>
      </c>
      <c r="M35" s="1610">
        <v>415</v>
      </c>
      <c r="N35" s="2634">
        <v>415</v>
      </c>
      <c r="O35" s="2634">
        <v>415</v>
      </c>
      <c r="P35" s="1610">
        <v>415</v>
      </c>
      <c r="Q35" s="2568">
        <f t="shared" si="58"/>
        <v>138.49851780353319</v>
      </c>
      <c r="R35" s="2568">
        <f t="shared" si="59"/>
        <v>130.76923076923077</v>
      </c>
      <c r="S35" s="2568">
        <f t="shared" si="60"/>
        <v>138.33333333333334</v>
      </c>
      <c r="T35" s="2568">
        <f t="shared" si="61"/>
        <v>138.33333333333334</v>
      </c>
      <c r="U35" s="2568">
        <f t="shared" si="62"/>
        <v>138.33333333333334</v>
      </c>
      <c r="V35" s="2568">
        <f t="shared" si="63"/>
        <v>138.33333333333334</v>
      </c>
      <c r="W35" s="2568">
        <f t="shared" si="64"/>
        <v>138.33333333333334</v>
      </c>
    </row>
    <row r="36" spans="1:28" ht="24">
      <c r="A36" s="765">
        <v>3</v>
      </c>
      <c r="B36" s="766" t="s">
        <v>509</v>
      </c>
      <c r="C36" s="1610">
        <v>0</v>
      </c>
      <c r="D36" s="2634">
        <v>0</v>
      </c>
      <c r="E36" s="2634">
        <v>0</v>
      </c>
      <c r="F36" s="1610">
        <v>0</v>
      </c>
      <c r="G36" s="2634">
        <v>0</v>
      </c>
      <c r="H36" s="2634">
        <v>0</v>
      </c>
      <c r="I36" s="1610">
        <v>0</v>
      </c>
      <c r="J36" s="1610">
        <v>0</v>
      </c>
      <c r="K36" s="2634">
        <v>0</v>
      </c>
      <c r="L36" s="2634">
        <v>0</v>
      </c>
      <c r="M36" s="1610">
        <v>0</v>
      </c>
      <c r="N36" s="2634">
        <v>0</v>
      </c>
      <c r="O36" s="2634">
        <v>0</v>
      </c>
      <c r="P36" s="1610">
        <v>0</v>
      </c>
      <c r="Q36" s="2568">
        <f t="shared" si="58"/>
        <v>0</v>
      </c>
      <c r="R36" s="2568">
        <f t="shared" si="59"/>
        <v>0</v>
      </c>
      <c r="S36" s="2568">
        <f t="shared" si="60"/>
        <v>0</v>
      </c>
      <c r="T36" s="2568">
        <f t="shared" si="61"/>
        <v>0</v>
      </c>
      <c r="U36" s="2568">
        <f t="shared" si="62"/>
        <v>0</v>
      </c>
      <c r="V36" s="2568">
        <f t="shared" si="63"/>
        <v>0</v>
      </c>
      <c r="W36" s="2568">
        <f t="shared" si="64"/>
        <v>0</v>
      </c>
    </row>
    <row r="37" spans="1:28" ht="24.75" customHeight="1">
      <c r="A37" s="2573">
        <v>4</v>
      </c>
      <c r="B37" s="2589" t="s">
        <v>506</v>
      </c>
      <c r="C37" s="2573">
        <f>C34+C35+C36</f>
        <v>2649109</v>
      </c>
      <c r="D37" s="2573">
        <f t="shared" ref="D37:P37" si="65">D34+D35+D36</f>
        <v>2600000</v>
      </c>
      <c r="E37" s="2573">
        <f t="shared" si="65"/>
        <v>3000000</v>
      </c>
      <c r="F37" s="2573">
        <f t="shared" si="65"/>
        <v>3000000</v>
      </c>
      <c r="G37" s="2573">
        <f t="shared" si="65"/>
        <v>3000000</v>
      </c>
      <c r="H37" s="2573">
        <f t="shared" si="65"/>
        <v>3000000</v>
      </c>
      <c r="I37" s="2573">
        <f t="shared" si="65"/>
        <v>3000000</v>
      </c>
      <c r="J37" s="2573">
        <f t="shared" si="65"/>
        <v>366.89767000000001</v>
      </c>
      <c r="K37" s="2573">
        <f t="shared" si="65"/>
        <v>340</v>
      </c>
      <c r="L37" s="2573">
        <f t="shared" si="65"/>
        <v>415</v>
      </c>
      <c r="M37" s="2573">
        <f t="shared" si="65"/>
        <v>415</v>
      </c>
      <c r="N37" s="2573">
        <f t="shared" si="65"/>
        <v>415</v>
      </c>
      <c r="O37" s="2573">
        <f t="shared" si="65"/>
        <v>415</v>
      </c>
      <c r="P37" s="2573">
        <f t="shared" si="65"/>
        <v>415</v>
      </c>
      <c r="Q37" s="2570">
        <f t="shared" si="58"/>
        <v>138.49851780353319</v>
      </c>
      <c r="R37" s="2570">
        <f t="shared" si="59"/>
        <v>130.76923076923077</v>
      </c>
      <c r="S37" s="2570">
        <f t="shared" si="60"/>
        <v>138.33333333333334</v>
      </c>
      <c r="T37" s="2570">
        <f t="shared" si="61"/>
        <v>138.33333333333334</v>
      </c>
      <c r="U37" s="2570">
        <f t="shared" si="62"/>
        <v>138.33333333333334</v>
      </c>
      <c r="V37" s="2570">
        <f t="shared" si="63"/>
        <v>138.33333333333334</v>
      </c>
      <c r="W37" s="2570">
        <f t="shared" si="64"/>
        <v>138.33333333333334</v>
      </c>
    </row>
    <row r="38" spans="1:28" ht="21.75" customHeight="1">
      <c r="A38" s="2590">
        <v>5</v>
      </c>
      <c r="B38" s="768" t="s">
        <v>511</v>
      </c>
      <c r="C38" s="2587"/>
      <c r="D38" s="2591">
        <f t="shared" ref="D38:I38" si="66">D37-C37</f>
        <v>-49109</v>
      </c>
      <c r="E38" s="2591">
        <f t="shared" si="66"/>
        <v>400000</v>
      </c>
      <c r="F38" s="2591">
        <f t="shared" si="66"/>
        <v>0</v>
      </c>
      <c r="G38" s="2591">
        <f t="shared" si="66"/>
        <v>0</v>
      </c>
      <c r="H38" s="2591">
        <f t="shared" si="66"/>
        <v>0</v>
      </c>
      <c r="I38" s="2591">
        <f t="shared" si="66"/>
        <v>0</v>
      </c>
      <c r="J38" s="2587"/>
      <c r="K38" s="2591">
        <f t="shared" ref="K38:P38" si="67">K37-J37</f>
        <v>-26.897670000000005</v>
      </c>
      <c r="L38" s="2591">
        <f t="shared" si="67"/>
        <v>75</v>
      </c>
      <c r="M38" s="2591">
        <f t="shared" si="67"/>
        <v>0</v>
      </c>
      <c r="N38" s="2591">
        <f t="shared" si="67"/>
        <v>0</v>
      </c>
      <c r="O38" s="2591">
        <f t="shared" si="67"/>
        <v>0</v>
      </c>
      <c r="P38" s="2591">
        <f t="shared" si="67"/>
        <v>0</v>
      </c>
      <c r="Q38" s="2587"/>
      <c r="R38" s="2588">
        <f t="shared" ref="R38:W38" si="68">R37-Q37</f>
        <v>-7.7292870343024163</v>
      </c>
      <c r="S38" s="2588">
        <f t="shared" si="68"/>
        <v>7.5641025641025692</v>
      </c>
      <c r="T38" s="2588">
        <f t="shared" si="68"/>
        <v>0</v>
      </c>
      <c r="U38" s="2588">
        <f t="shared" si="68"/>
        <v>0</v>
      </c>
      <c r="V38" s="2588">
        <f t="shared" si="68"/>
        <v>0</v>
      </c>
      <c r="W38" s="2588">
        <f t="shared" si="68"/>
        <v>0</v>
      </c>
    </row>
    <row r="39" spans="1:28" ht="24">
      <c r="A39" s="2592">
        <v>6</v>
      </c>
      <c r="B39" s="2585" t="s">
        <v>1190</v>
      </c>
      <c r="C39" s="2575">
        <f>C37/'2. Променливи'!E64</f>
        <v>0.14928290239553979</v>
      </c>
      <c r="D39" s="2575">
        <f>D37/'2. Променливи'!F64</f>
        <v>0.13368708994056067</v>
      </c>
      <c r="E39" s="2575">
        <f>E37/'2. Променливи'!G64</f>
        <v>0.15425433454680076</v>
      </c>
      <c r="F39" s="2575">
        <f>F37/'2. Променливи'!H64</f>
        <v>0.1480867195829878</v>
      </c>
      <c r="G39" s="2575">
        <f>G37/'2. Променливи'!I64</f>
        <v>0.1480867195829878</v>
      </c>
      <c r="H39" s="2575">
        <f>H37/'2. Променливи'!J64</f>
        <v>0.1480867195829878</v>
      </c>
      <c r="I39" s="2575">
        <f>I37/'2. Променливи'!K64</f>
        <v>0.1480867195829878</v>
      </c>
      <c r="J39" s="2571"/>
      <c r="K39" s="2571"/>
      <c r="L39" s="2571"/>
      <c r="M39" s="2571"/>
      <c r="N39" s="2571"/>
      <c r="O39" s="2571"/>
      <c r="P39" s="2571"/>
      <c r="Q39" s="1546"/>
      <c r="R39" s="1546"/>
      <c r="S39" s="1546"/>
      <c r="T39" s="1546"/>
      <c r="U39" s="1546"/>
      <c r="V39" s="1546"/>
      <c r="W39" s="1546"/>
    </row>
    <row r="40" spans="1:28" ht="24">
      <c r="A40" s="2592">
        <v>7</v>
      </c>
      <c r="B40" s="2585" t="s">
        <v>1189</v>
      </c>
      <c r="C40" s="2575">
        <f>C37/'4. Отчет и прогн. потребление'!D63</f>
        <v>0.81733814809718308</v>
      </c>
      <c r="D40" s="2575">
        <f>D37/'4. Отчет и прогн. потребление'!E63</f>
        <v>0.83601286173633438</v>
      </c>
      <c r="E40" s="2575">
        <f>E37/'4. Отчет и прогн. потребление'!F63</f>
        <v>1.1666437874857232</v>
      </c>
      <c r="F40" s="2575">
        <f>F37/'4. Отчет и прогн. потребление'!G63</f>
        <v>1.0391409767925182</v>
      </c>
      <c r="G40" s="2575">
        <f>G37/'4. Отчет и прогн. потребление'!H63</f>
        <v>1.0391409767925182</v>
      </c>
      <c r="H40" s="2575">
        <f>H37/'4. Отчет и прогн. потребление'!I63</f>
        <v>1.0391409767925182</v>
      </c>
      <c r="I40" s="2575">
        <f>I37/'4. Отчет и прогн. потребление'!J63</f>
        <v>1.0391409767925182</v>
      </c>
      <c r="J40" s="2571"/>
      <c r="K40" s="2571"/>
      <c r="L40" s="2571"/>
      <c r="M40" s="2571"/>
      <c r="N40" s="2571"/>
      <c r="O40" s="2571"/>
      <c r="P40" s="2571"/>
      <c r="Q40" s="1546"/>
      <c r="R40" s="1546"/>
      <c r="S40" s="1546"/>
      <c r="T40" s="1546"/>
      <c r="U40" s="1546"/>
      <c r="V40" s="1546"/>
      <c r="W40" s="1546"/>
    </row>
    <row r="41" spans="1:28" s="1541" customFormat="1" ht="11.25" customHeight="1">
      <c r="A41" s="2586"/>
      <c r="B41" s="598"/>
      <c r="C41" s="2581"/>
      <c r="D41" s="2582"/>
      <c r="E41" s="2583"/>
      <c r="F41" s="2583"/>
      <c r="G41" s="2583"/>
      <c r="H41" s="2583"/>
      <c r="I41" s="2583"/>
      <c r="J41" s="2581"/>
      <c r="K41" s="2582"/>
      <c r="L41" s="2583"/>
      <c r="M41" s="2583"/>
      <c r="N41" s="2583"/>
      <c r="O41" s="2583"/>
      <c r="P41" s="2583"/>
      <c r="Q41" s="1548"/>
      <c r="R41" s="1549"/>
      <c r="S41" s="1550"/>
      <c r="T41" s="1550"/>
      <c r="U41" s="1550"/>
      <c r="V41" s="1550"/>
      <c r="W41" s="1550"/>
      <c r="X41" s="1542"/>
      <c r="Y41" s="1542"/>
      <c r="Z41" s="1542"/>
      <c r="AA41" s="1542"/>
      <c r="AB41" s="1542"/>
    </row>
    <row r="42" spans="1:28" s="1541" customFormat="1" ht="23.25" customHeight="1">
      <c r="A42" s="3393" t="s">
        <v>913</v>
      </c>
      <c r="B42" s="3394"/>
      <c r="C42" s="3395"/>
      <c r="D42" s="2577"/>
      <c r="E42" s="2578"/>
      <c r="F42" s="2578"/>
      <c r="G42" s="2578"/>
      <c r="H42" s="2578"/>
      <c r="I42" s="2579"/>
      <c r="J42" s="2580">
        <f>J37-'12. Разходи'!Q17</f>
        <v>-0.10232999999999493</v>
      </c>
      <c r="K42" s="2580">
        <f>K37-'12. Разходи'!R17</f>
        <v>0</v>
      </c>
      <c r="L42" s="2580">
        <f>L37-'12. Разходи'!S17</f>
        <v>0</v>
      </c>
      <c r="M42" s="2580">
        <f>M37-'12. Разходи'!T17</f>
        <v>0</v>
      </c>
      <c r="N42" s="2580">
        <f>N37-'12. Разходи'!U17</f>
        <v>0</v>
      </c>
      <c r="O42" s="2580">
        <f>O37-'12. Разходи'!V17</f>
        <v>0</v>
      </c>
      <c r="P42" s="2580">
        <f>P37-'12. Разходи'!W17</f>
        <v>0</v>
      </c>
      <c r="Q42" s="1548"/>
      <c r="R42" s="1549"/>
      <c r="S42" s="1550"/>
      <c r="T42" s="1550"/>
      <c r="U42" s="1550"/>
      <c r="V42" s="1550"/>
      <c r="W42" s="1550"/>
      <c r="X42" s="1542"/>
      <c r="Y42" s="1542"/>
      <c r="Z42" s="1542"/>
      <c r="AA42" s="1542"/>
      <c r="AB42" s="1542"/>
    </row>
    <row r="43" spans="1:28" s="1541" customFormat="1" ht="15">
      <c r="A43" s="1547"/>
      <c r="B43" s="598"/>
      <c r="C43" s="1548"/>
      <c r="D43" s="1549"/>
      <c r="E43" s="1550"/>
      <c r="F43" s="1550"/>
      <c r="G43" s="1550"/>
      <c r="H43" s="1550"/>
      <c r="I43" s="1550"/>
      <c r="J43" s="1548"/>
      <c r="K43" s="1549"/>
      <c r="L43" s="1550"/>
      <c r="M43" s="1550"/>
      <c r="N43" s="1550"/>
      <c r="O43" s="1550"/>
      <c r="P43" s="1550"/>
      <c r="Q43" s="1548"/>
      <c r="R43" s="1549"/>
      <c r="S43" s="1550"/>
      <c r="T43" s="1550"/>
      <c r="U43" s="1550"/>
      <c r="V43" s="1550"/>
      <c r="W43" s="1550"/>
      <c r="X43" s="1542"/>
      <c r="Y43" s="1542"/>
      <c r="Z43" s="1542"/>
      <c r="AA43" s="1542"/>
      <c r="AB43" s="1542"/>
    </row>
    <row r="44" spans="1:28" ht="23.25" customHeight="1">
      <c r="A44" s="3396" t="s">
        <v>1</v>
      </c>
      <c r="B44" s="3396" t="s">
        <v>502</v>
      </c>
      <c r="C44" s="3396" t="s">
        <v>510</v>
      </c>
      <c r="D44" s="3396"/>
      <c r="E44" s="3396"/>
      <c r="F44" s="3396"/>
      <c r="G44" s="3396"/>
      <c r="H44" s="3396"/>
      <c r="I44" s="3396"/>
      <c r="J44" s="3396"/>
      <c r="K44" s="3396"/>
      <c r="L44" s="3396"/>
      <c r="M44" s="3396"/>
      <c r="N44" s="3396"/>
      <c r="O44" s="3396"/>
      <c r="P44" s="3396"/>
      <c r="Q44" s="3396"/>
      <c r="R44" s="3396"/>
      <c r="S44" s="3396"/>
      <c r="T44" s="3396"/>
      <c r="U44" s="3396"/>
      <c r="V44" s="3396"/>
      <c r="W44" s="3396"/>
    </row>
    <row r="45" spans="1:28" ht="24.75" customHeight="1">
      <c r="A45" s="3397"/>
      <c r="B45" s="3397"/>
      <c r="C45" s="3398" t="s">
        <v>503</v>
      </c>
      <c r="D45" s="3398"/>
      <c r="E45" s="3398"/>
      <c r="F45" s="3398"/>
      <c r="G45" s="3398"/>
      <c r="H45" s="3398"/>
      <c r="I45" s="3398"/>
      <c r="J45" s="3398" t="s">
        <v>504</v>
      </c>
      <c r="K45" s="3398"/>
      <c r="L45" s="3398"/>
      <c r="M45" s="3398"/>
      <c r="N45" s="3398"/>
      <c r="O45" s="3398"/>
      <c r="P45" s="3398"/>
      <c r="Q45" s="3398" t="s">
        <v>512</v>
      </c>
      <c r="R45" s="3398"/>
      <c r="S45" s="3398"/>
      <c r="T45" s="3398"/>
      <c r="U45" s="3398"/>
      <c r="V45" s="3398"/>
      <c r="W45" s="3398"/>
    </row>
    <row r="46" spans="1:28" ht="26.25" customHeight="1">
      <c r="A46" s="3397"/>
      <c r="B46" s="3397"/>
      <c r="C46" s="1545" t="str">
        <f t="shared" ref="C46:I46" si="69">C33</f>
        <v>2015 г.</v>
      </c>
      <c r="D46" s="1545" t="str">
        <f t="shared" si="69"/>
        <v>2016 г.</v>
      </c>
      <c r="E46" s="1545" t="str">
        <f t="shared" si="69"/>
        <v>2017 г.</v>
      </c>
      <c r="F46" s="1545" t="str">
        <f t="shared" si="69"/>
        <v>2018 г.</v>
      </c>
      <c r="G46" s="1545" t="str">
        <f t="shared" si="69"/>
        <v>2019 г.</v>
      </c>
      <c r="H46" s="1545" t="str">
        <f t="shared" si="69"/>
        <v>2020 г.</v>
      </c>
      <c r="I46" s="1545" t="str">
        <f t="shared" si="69"/>
        <v>2021 г.</v>
      </c>
      <c r="J46" s="1545" t="str">
        <f>C46</f>
        <v>2015 г.</v>
      </c>
      <c r="K46" s="1545" t="str">
        <f t="shared" ref="K46" si="70">D46</f>
        <v>2016 г.</v>
      </c>
      <c r="L46" s="1545" t="str">
        <f t="shared" ref="L46" si="71">E46</f>
        <v>2017 г.</v>
      </c>
      <c r="M46" s="1545" t="str">
        <f t="shared" ref="M46" si="72">F46</f>
        <v>2018 г.</v>
      </c>
      <c r="N46" s="1545" t="str">
        <f t="shared" ref="N46" si="73">G46</f>
        <v>2019 г.</v>
      </c>
      <c r="O46" s="1545" t="str">
        <f t="shared" ref="O46" si="74">H46</f>
        <v>2020 г.</v>
      </c>
      <c r="P46" s="1545" t="str">
        <f t="shared" ref="P46" si="75">I46</f>
        <v>2021 г.</v>
      </c>
      <c r="Q46" s="1545" t="str">
        <f t="shared" ref="Q46" si="76">J46</f>
        <v>2015 г.</v>
      </c>
      <c r="R46" s="1545" t="str">
        <f t="shared" ref="R46" si="77">K46</f>
        <v>2016 г.</v>
      </c>
      <c r="S46" s="1545" t="str">
        <f t="shared" ref="S46" si="78">L46</f>
        <v>2017 г.</v>
      </c>
      <c r="T46" s="1545" t="str">
        <f t="shared" ref="T46" si="79">M46</f>
        <v>2018 г.</v>
      </c>
      <c r="U46" s="1545" t="str">
        <f t="shared" ref="U46" si="80">N46</f>
        <v>2019 г.</v>
      </c>
      <c r="V46" s="1545" t="str">
        <f t="shared" ref="V46" si="81">O46</f>
        <v>2020 г.</v>
      </c>
      <c r="W46" s="1545" t="str">
        <f t="shared" ref="W46" si="82">P46</f>
        <v>2021 г.</v>
      </c>
    </row>
    <row r="47" spans="1:28" ht="24" customHeight="1">
      <c r="A47" s="765">
        <v>1</v>
      </c>
      <c r="B47" s="766" t="s">
        <v>507</v>
      </c>
      <c r="C47" s="2593">
        <f t="shared" ref="C47:P47" si="83">C9+C22+C34</f>
        <v>10698523</v>
      </c>
      <c r="D47" s="2594">
        <f t="shared" si="83"/>
        <v>10461574</v>
      </c>
      <c r="E47" s="2593">
        <f t="shared" si="83"/>
        <v>10550000</v>
      </c>
      <c r="F47" s="2593">
        <f t="shared" si="83"/>
        <v>10550000</v>
      </c>
      <c r="G47" s="2593">
        <f t="shared" si="83"/>
        <v>10550000</v>
      </c>
      <c r="H47" s="2593">
        <f t="shared" si="83"/>
        <v>10550000</v>
      </c>
      <c r="I47" s="2593">
        <f t="shared" si="83"/>
        <v>10550000</v>
      </c>
      <c r="J47" s="2593">
        <f t="shared" si="83"/>
        <v>1564.8175400000002</v>
      </c>
      <c r="K47" s="2594">
        <f t="shared" si="83"/>
        <v>1544</v>
      </c>
      <c r="L47" s="2593">
        <f t="shared" si="83"/>
        <v>1538.5</v>
      </c>
      <c r="M47" s="2593">
        <f t="shared" si="83"/>
        <v>1538.5</v>
      </c>
      <c r="N47" s="2593">
        <f t="shared" si="83"/>
        <v>1538.5</v>
      </c>
      <c r="O47" s="2593">
        <f t="shared" si="83"/>
        <v>1538.5</v>
      </c>
      <c r="P47" s="2593">
        <f t="shared" si="83"/>
        <v>1538.5</v>
      </c>
      <c r="Q47" s="2568">
        <f t="shared" ref="Q47:Q55" si="84">IFERROR((J47*1000)/(C47/1000),0)</f>
        <v>146.26481991953472</v>
      </c>
      <c r="R47" s="2569">
        <f t="shared" ref="R47:R55" si="85">IFERROR((K47*1000)/(D47/1000),0)</f>
        <v>147.58773392990386</v>
      </c>
      <c r="S47" s="2568">
        <f t="shared" ref="S47:S55" si="86">IFERROR((L47*1000)/(E47/1000),0)</f>
        <v>145.82938388625593</v>
      </c>
      <c r="T47" s="2568">
        <f t="shared" ref="T47:T55" si="87">IFERROR((M47*1000)/(F47/1000),0)</f>
        <v>145.82938388625593</v>
      </c>
      <c r="U47" s="2568">
        <f t="shared" ref="U47:U55" si="88">IFERROR((N47*1000)/(G47/1000),0)</f>
        <v>145.82938388625593</v>
      </c>
      <c r="V47" s="2568">
        <f t="shared" ref="V47:V55" si="89">IFERROR((O47*1000)/(H47/1000),0)</f>
        <v>145.82938388625593</v>
      </c>
      <c r="W47" s="2568">
        <f t="shared" ref="W47:W55" si="90">IFERROR((P47*1000)/(I47/1000),0)</f>
        <v>145.82938388625593</v>
      </c>
    </row>
    <row r="48" spans="1:28" ht="24">
      <c r="A48" s="765">
        <v>2</v>
      </c>
      <c r="B48" s="766" t="s">
        <v>508</v>
      </c>
      <c r="C48" s="2593">
        <f t="shared" ref="C48:P48" si="91">C10+C23+C35</f>
        <v>3604498</v>
      </c>
      <c r="D48" s="2593">
        <f t="shared" si="91"/>
        <v>3730000</v>
      </c>
      <c r="E48" s="2593">
        <f t="shared" si="91"/>
        <v>3950000</v>
      </c>
      <c r="F48" s="2593">
        <f t="shared" si="91"/>
        <v>3950000</v>
      </c>
      <c r="G48" s="2593">
        <f t="shared" si="91"/>
        <v>3950000</v>
      </c>
      <c r="H48" s="2593">
        <f t="shared" si="91"/>
        <v>3950000</v>
      </c>
      <c r="I48" s="2593">
        <f t="shared" si="91"/>
        <v>3950000</v>
      </c>
      <c r="J48" s="2593">
        <f t="shared" si="91"/>
        <v>492.39010999999999</v>
      </c>
      <c r="K48" s="2593">
        <f t="shared" si="91"/>
        <v>490</v>
      </c>
      <c r="L48" s="2593">
        <f t="shared" si="91"/>
        <v>546</v>
      </c>
      <c r="M48" s="2593">
        <f t="shared" si="91"/>
        <v>546</v>
      </c>
      <c r="N48" s="2593">
        <f t="shared" si="91"/>
        <v>546</v>
      </c>
      <c r="O48" s="2593">
        <f t="shared" si="91"/>
        <v>546</v>
      </c>
      <c r="P48" s="2593">
        <f t="shared" si="91"/>
        <v>546</v>
      </c>
      <c r="Q48" s="2568">
        <f t="shared" si="84"/>
        <v>136.60435100810153</v>
      </c>
      <c r="R48" s="2568">
        <f t="shared" si="85"/>
        <v>131.36729222520108</v>
      </c>
      <c r="S48" s="2568">
        <f t="shared" si="86"/>
        <v>138.22784810126583</v>
      </c>
      <c r="T48" s="2568">
        <f t="shared" si="87"/>
        <v>138.22784810126583</v>
      </c>
      <c r="U48" s="2568">
        <f t="shared" si="88"/>
        <v>138.22784810126583</v>
      </c>
      <c r="V48" s="2568">
        <f t="shared" si="89"/>
        <v>138.22784810126583</v>
      </c>
      <c r="W48" s="2568">
        <f t="shared" si="90"/>
        <v>138.22784810126583</v>
      </c>
    </row>
    <row r="49" spans="1:23" ht="24.75" thickBot="1">
      <c r="A49" s="770">
        <v>3</v>
      </c>
      <c r="B49" s="768" t="s">
        <v>509</v>
      </c>
      <c r="C49" s="2595">
        <f t="shared" ref="C49:P49" si="92">C11+C24+C36</f>
        <v>0</v>
      </c>
      <c r="D49" s="2595">
        <f t="shared" si="92"/>
        <v>0</v>
      </c>
      <c r="E49" s="2595">
        <f t="shared" si="92"/>
        <v>0</v>
      </c>
      <c r="F49" s="2595">
        <f t="shared" si="92"/>
        <v>0</v>
      </c>
      <c r="G49" s="2595">
        <f t="shared" si="92"/>
        <v>0</v>
      </c>
      <c r="H49" s="2595">
        <f t="shared" si="92"/>
        <v>0</v>
      </c>
      <c r="I49" s="2595">
        <f t="shared" si="92"/>
        <v>0</v>
      </c>
      <c r="J49" s="2595">
        <f t="shared" si="92"/>
        <v>0</v>
      </c>
      <c r="K49" s="2595">
        <f t="shared" si="92"/>
        <v>0</v>
      </c>
      <c r="L49" s="2595">
        <f t="shared" si="92"/>
        <v>0</v>
      </c>
      <c r="M49" s="2595">
        <f t="shared" si="92"/>
        <v>0</v>
      </c>
      <c r="N49" s="2595">
        <f t="shared" si="92"/>
        <v>0</v>
      </c>
      <c r="O49" s="2595">
        <f t="shared" si="92"/>
        <v>0</v>
      </c>
      <c r="P49" s="2595">
        <f t="shared" si="92"/>
        <v>0</v>
      </c>
      <c r="Q49" s="2596">
        <f t="shared" si="84"/>
        <v>0</v>
      </c>
      <c r="R49" s="2596">
        <f t="shared" si="85"/>
        <v>0</v>
      </c>
      <c r="S49" s="2596">
        <f t="shared" si="86"/>
        <v>0</v>
      </c>
      <c r="T49" s="2596">
        <f t="shared" si="87"/>
        <v>0</v>
      </c>
      <c r="U49" s="2596">
        <f t="shared" si="88"/>
        <v>0</v>
      </c>
      <c r="V49" s="2596">
        <f t="shared" si="89"/>
        <v>0</v>
      </c>
      <c r="W49" s="2596">
        <f t="shared" si="90"/>
        <v>0</v>
      </c>
    </row>
    <row r="50" spans="1:23" ht="24.75" thickBot="1">
      <c r="A50" s="2661">
        <v>4</v>
      </c>
      <c r="B50" s="2662" t="s">
        <v>1191</v>
      </c>
      <c r="C50" s="2597">
        <f>C47+C48+C49</f>
        <v>14303021</v>
      </c>
      <c r="D50" s="2597">
        <f t="shared" ref="D50:P50" si="93">D47+D48+D49</f>
        <v>14191574</v>
      </c>
      <c r="E50" s="2597">
        <f t="shared" si="93"/>
        <v>14500000</v>
      </c>
      <c r="F50" s="2597">
        <f t="shared" si="93"/>
        <v>14500000</v>
      </c>
      <c r="G50" s="2597">
        <f t="shared" si="93"/>
        <v>14500000</v>
      </c>
      <c r="H50" s="2597">
        <f t="shared" si="93"/>
        <v>14500000</v>
      </c>
      <c r="I50" s="2597">
        <f t="shared" si="93"/>
        <v>14500000</v>
      </c>
      <c r="J50" s="2597">
        <f t="shared" si="93"/>
        <v>2057.2076500000003</v>
      </c>
      <c r="K50" s="2597">
        <f t="shared" si="93"/>
        <v>2034</v>
      </c>
      <c r="L50" s="2597">
        <f t="shared" si="93"/>
        <v>2084.5</v>
      </c>
      <c r="M50" s="2597">
        <f t="shared" si="93"/>
        <v>2084.5</v>
      </c>
      <c r="N50" s="2597">
        <f t="shared" si="93"/>
        <v>2084.5</v>
      </c>
      <c r="O50" s="2597">
        <f t="shared" si="93"/>
        <v>2084.5</v>
      </c>
      <c r="P50" s="2597">
        <f t="shared" si="93"/>
        <v>2084.5</v>
      </c>
      <c r="Q50" s="2598">
        <f t="shared" si="84"/>
        <v>143.83028941927725</v>
      </c>
      <c r="R50" s="2598">
        <f t="shared" si="85"/>
        <v>143.3244825415419</v>
      </c>
      <c r="S50" s="2598">
        <f t="shared" si="86"/>
        <v>143.75862068965517</v>
      </c>
      <c r="T50" s="2598">
        <f t="shared" si="87"/>
        <v>143.75862068965517</v>
      </c>
      <c r="U50" s="2598">
        <f t="shared" si="88"/>
        <v>143.75862068965517</v>
      </c>
      <c r="V50" s="2598">
        <f t="shared" si="89"/>
        <v>143.75862068965517</v>
      </c>
      <c r="W50" s="2599">
        <f t="shared" si="90"/>
        <v>143.75862068965517</v>
      </c>
    </row>
    <row r="51" spans="1:23" ht="24">
      <c r="A51" s="771">
        <v>5</v>
      </c>
      <c r="B51" s="772" t="s">
        <v>505</v>
      </c>
      <c r="C51" s="1610">
        <v>78809</v>
      </c>
      <c r="D51" s="2634">
        <v>140000</v>
      </c>
      <c r="E51" s="2634">
        <v>100000</v>
      </c>
      <c r="F51" s="1610">
        <v>100000</v>
      </c>
      <c r="G51" s="2634">
        <v>100000</v>
      </c>
      <c r="H51" s="2634">
        <v>100000</v>
      </c>
      <c r="I51" s="1610">
        <v>100000</v>
      </c>
      <c r="J51" s="1610">
        <v>15.849170000000001</v>
      </c>
      <c r="K51" s="2634">
        <v>28</v>
      </c>
      <c r="L51" s="2634">
        <v>20</v>
      </c>
      <c r="M51" s="1610">
        <v>20</v>
      </c>
      <c r="N51" s="2634">
        <v>20</v>
      </c>
      <c r="O51" s="2634">
        <v>20</v>
      </c>
      <c r="P51" s="1610">
        <v>20</v>
      </c>
      <c r="Q51" s="2600">
        <f t="shared" si="84"/>
        <v>201.10862972503142</v>
      </c>
      <c r="R51" s="2600">
        <f t="shared" si="85"/>
        <v>200</v>
      </c>
      <c r="S51" s="2600">
        <f t="shared" si="86"/>
        <v>200</v>
      </c>
      <c r="T51" s="2600">
        <f t="shared" si="87"/>
        <v>200</v>
      </c>
      <c r="U51" s="2600">
        <f t="shared" si="88"/>
        <v>200</v>
      </c>
      <c r="V51" s="2600">
        <f t="shared" si="89"/>
        <v>200</v>
      </c>
      <c r="W51" s="2600">
        <f t="shared" si="90"/>
        <v>200</v>
      </c>
    </row>
    <row r="52" spans="1:23" ht="24">
      <c r="A52" s="765">
        <v>6</v>
      </c>
      <c r="B52" s="766" t="s">
        <v>817</v>
      </c>
      <c r="C52" s="1610">
        <v>266272</v>
      </c>
      <c r="D52" s="2634">
        <v>185000</v>
      </c>
      <c r="E52" s="2634">
        <v>250000</v>
      </c>
      <c r="F52" s="1610">
        <v>250000</v>
      </c>
      <c r="G52" s="2634">
        <v>250000</v>
      </c>
      <c r="H52" s="2634">
        <v>250000</v>
      </c>
      <c r="I52" s="1610">
        <v>250000</v>
      </c>
      <c r="J52" s="1610">
        <v>36.07</v>
      </c>
      <c r="K52" s="2634">
        <v>27</v>
      </c>
      <c r="L52" s="2634">
        <v>36.630000000000003</v>
      </c>
      <c r="M52" s="1610">
        <v>36.630000000000003</v>
      </c>
      <c r="N52" s="2634">
        <v>36.630000000000003</v>
      </c>
      <c r="O52" s="2634">
        <v>36.630000000000003</v>
      </c>
      <c r="P52" s="1610">
        <v>36.630000000000003</v>
      </c>
      <c r="Q52" s="2568">
        <f t="shared" si="84"/>
        <v>135.46298521812284</v>
      </c>
      <c r="R52" s="2568">
        <f t="shared" si="85"/>
        <v>145.94594594594594</v>
      </c>
      <c r="S52" s="2568">
        <f t="shared" si="86"/>
        <v>146.52000000000001</v>
      </c>
      <c r="T52" s="2568">
        <f t="shared" si="87"/>
        <v>146.52000000000001</v>
      </c>
      <c r="U52" s="2568">
        <f t="shared" si="88"/>
        <v>146.52000000000001</v>
      </c>
      <c r="V52" s="2568">
        <f t="shared" si="89"/>
        <v>146.52000000000001</v>
      </c>
      <c r="W52" s="2568">
        <f t="shared" si="90"/>
        <v>146.52000000000001</v>
      </c>
    </row>
    <row r="53" spans="1:23" ht="24">
      <c r="A53" s="771">
        <v>7</v>
      </c>
      <c r="B53" s="766" t="s">
        <v>1473</v>
      </c>
      <c r="C53" s="1610">
        <v>0</v>
      </c>
      <c r="D53" s="2634">
        <v>0</v>
      </c>
      <c r="E53" s="2634">
        <v>0</v>
      </c>
      <c r="F53" s="1610">
        <v>0</v>
      </c>
      <c r="G53" s="2634">
        <v>0</v>
      </c>
      <c r="H53" s="2634">
        <v>0</v>
      </c>
      <c r="I53" s="1610">
        <v>0</v>
      </c>
      <c r="J53" s="1610">
        <v>0</v>
      </c>
      <c r="K53" s="2634">
        <v>0</v>
      </c>
      <c r="L53" s="2634">
        <v>0</v>
      </c>
      <c r="M53" s="1610">
        <v>0</v>
      </c>
      <c r="N53" s="2634">
        <v>0</v>
      </c>
      <c r="O53" s="2634">
        <v>0</v>
      </c>
      <c r="P53" s="1610">
        <v>0</v>
      </c>
      <c r="Q53" s="2568">
        <f t="shared" ref="Q53:Q54" si="94">IFERROR((J53*1000)/(C53/1000),0)</f>
        <v>0</v>
      </c>
      <c r="R53" s="2568">
        <f t="shared" ref="R53:R54" si="95">IFERROR((K53*1000)/(D53/1000),0)</f>
        <v>0</v>
      </c>
      <c r="S53" s="2568">
        <f t="shared" ref="S53:S54" si="96">IFERROR((L53*1000)/(E53/1000),0)</f>
        <v>0</v>
      </c>
      <c r="T53" s="2568">
        <f t="shared" ref="T53:T54" si="97">IFERROR((M53*1000)/(F53/1000),0)</f>
        <v>0</v>
      </c>
      <c r="U53" s="2568">
        <f t="shared" ref="U53:U54" si="98">IFERROR((N53*1000)/(G53/1000),0)</f>
        <v>0</v>
      </c>
      <c r="V53" s="2568">
        <f t="shared" ref="V53:V54" si="99">IFERROR((O53*1000)/(H53/1000),0)</f>
        <v>0</v>
      </c>
      <c r="W53" s="2568">
        <f t="shared" ref="W53:W54" si="100">IFERROR((P53*1000)/(I53/1000),0)</f>
        <v>0</v>
      </c>
    </row>
    <row r="54" spans="1:23" ht="24.75" customHeight="1">
      <c r="A54" s="765">
        <v>8</v>
      </c>
      <c r="B54" s="766" t="s">
        <v>1474</v>
      </c>
      <c r="C54" s="1610">
        <v>51108</v>
      </c>
      <c r="D54" s="2634">
        <v>38426</v>
      </c>
      <c r="E54" s="2634">
        <v>58080</v>
      </c>
      <c r="F54" s="1610">
        <v>58080</v>
      </c>
      <c r="G54" s="2634">
        <v>58080</v>
      </c>
      <c r="H54" s="2634">
        <v>58080</v>
      </c>
      <c r="I54" s="1610">
        <v>58080</v>
      </c>
      <c r="J54" s="1610">
        <v>9.7948699999999995</v>
      </c>
      <c r="K54" s="2634">
        <v>7</v>
      </c>
      <c r="L54" s="2634">
        <v>10.234999999999999</v>
      </c>
      <c r="M54" s="1610">
        <v>10.234999999999999</v>
      </c>
      <c r="N54" s="2634">
        <v>10.234999999999999</v>
      </c>
      <c r="O54" s="2634">
        <v>10.234999999999999</v>
      </c>
      <c r="P54" s="1610">
        <v>10.234999999999999</v>
      </c>
      <c r="Q54" s="2568">
        <f t="shared" si="94"/>
        <v>191.65042654770289</v>
      </c>
      <c r="R54" s="2568">
        <f t="shared" si="95"/>
        <v>182.16832353094259</v>
      </c>
      <c r="S54" s="2568">
        <f t="shared" si="96"/>
        <v>176.22245179063361</v>
      </c>
      <c r="T54" s="2568">
        <f t="shared" si="97"/>
        <v>176.22245179063361</v>
      </c>
      <c r="U54" s="2568">
        <f t="shared" si="98"/>
        <v>176.22245179063361</v>
      </c>
      <c r="V54" s="2568">
        <f t="shared" si="99"/>
        <v>176.22245179063361</v>
      </c>
      <c r="W54" s="2568">
        <f t="shared" si="100"/>
        <v>176.22245179063361</v>
      </c>
    </row>
    <row r="55" spans="1:23" ht="24" customHeight="1">
      <c r="A55" s="2573">
        <v>9</v>
      </c>
      <c r="B55" s="2589" t="s">
        <v>506</v>
      </c>
      <c r="C55" s="2573">
        <f>C47+C48+C49+C51+C52+C53+C54</f>
        <v>14699210</v>
      </c>
      <c r="D55" s="2573">
        <f t="shared" ref="D55:P55" si="101">D47+D48+D49+D51+D52+D53+D54</f>
        <v>14555000</v>
      </c>
      <c r="E55" s="2573">
        <f t="shared" si="101"/>
        <v>14908080</v>
      </c>
      <c r="F55" s="2573">
        <f t="shared" si="101"/>
        <v>14908080</v>
      </c>
      <c r="G55" s="2573">
        <f t="shared" si="101"/>
        <v>14908080</v>
      </c>
      <c r="H55" s="2573">
        <f t="shared" si="101"/>
        <v>14908080</v>
      </c>
      <c r="I55" s="2573">
        <f t="shared" si="101"/>
        <v>14908080</v>
      </c>
      <c r="J55" s="2573">
        <f t="shared" si="101"/>
        <v>2118.9216900000006</v>
      </c>
      <c r="K55" s="2573">
        <f t="shared" si="101"/>
        <v>2096</v>
      </c>
      <c r="L55" s="2573">
        <f t="shared" si="101"/>
        <v>2151.3650000000002</v>
      </c>
      <c r="M55" s="2573">
        <f t="shared" si="101"/>
        <v>2151.3650000000002</v>
      </c>
      <c r="N55" s="2573">
        <f t="shared" si="101"/>
        <v>2151.3650000000002</v>
      </c>
      <c r="O55" s="2573">
        <f t="shared" si="101"/>
        <v>2151.3650000000002</v>
      </c>
      <c r="P55" s="2573">
        <f t="shared" si="101"/>
        <v>2151.3650000000002</v>
      </c>
      <c r="Q55" s="2570">
        <f t="shared" si="84"/>
        <v>144.15207960155686</v>
      </c>
      <c r="R55" s="2570">
        <f t="shared" si="85"/>
        <v>144.00549639299209</v>
      </c>
      <c r="S55" s="2570">
        <f t="shared" si="86"/>
        <v>144.30865678209403</v>
      </c>
      <c r="T55" s="2570">
        <f t="shared" si="87"/>
        <v>144.30865678209403</v>
      </c>
      <c r="U55" s="2570">
        <f t="shared" si="88"/>
        <v>144.30865678209403</v>
      </c>
      <c r="V55" s="2570">
        <f t="shared" si="89"/>
        <v>144.30865678209403</v>
      </c>
      <c r="W55" s="2570">
        <f t="shared" si="90"/>
        <v>144.30865678209403</v>
      </c>
    </row>
    <row r="57" spans="1:23" ht="21" customHeight="1">
      <c r="A57" s="3396" t="s">
        <v>1</v>
      </c>
      <c r="B57" s="3396" t="s">
        <v>502</v>
      </c>
      <c r="C57" s="3396" t="s">
        <v>513</v>
      </c>
      <c r="D57" s="3396"/>
      <c r="E57" s="3396"/>
      <c r="F57" s="3396"/>
      <c r="G57" s="3396"/>
      <c r="H57" s="3396"/>
      <c r="I57" s="3396"/>
      <c r="J57" s="3396"/>
      <c r="K57" s="3396"/>
      <c r="L57" s="3396"/>
      <c r="M57" s="3396"/>
      <c r="N57" s="3396"/>
      <c r="O57" s="3396"/>
      <c r="P57" s="3396"/>
    </row>
    <row r="58" spans="1:23" ht="21" customHeight="1">
      <c r="A58" s="3397"/>
      <c r="B58" s="3397"/>
      <c r="C58" s="3398" t="s">
        <v>503</v>
      </c>
      <c r="D58" s="3398"/>
      <c r="E58" s="3398"/>
      <c r="F58" s="3398"/>
      <c r="G58" s="3398"/>
      <c r="H58" s="3398"/>
      <c r="I58" s="3398"/>
      <c r="J58" s="3398" t="s">
        <v>1192</v>
      </c>
      <c r="K58" s="3398"/>
      <c r="L58" s="3398"/>
      <c r="M58" s="3398"/>
      <c r="N58" s="3398"/>
      <c r="O58" s="3398"/>
      <c r="P58" s="3398"/>
    </row>
    <row r="59" spans="1:23" ht="21.75" customHeight="1">
      <c r="A59" s="3397"/>
      <c r="B59" s="3397"/>
      <c r="C59" s="1545" t="str">
        <f>C46</f>
        <v>2015 г.</v>
      </c>
      <c r="D59" s="1545" t="str">
        <f t="shared" ref="D59:I59" si="102">D46</f>
        <v>2016 г.</v>
      </c>
      <c r="E59" s="1545" t="str">
        <f t="shared" si="102"/>
        <v>2017 г.</v>
      </c>
      <c r="F59" s="1545" t="str">
        <f t="shared" si="102"/>
        <v>2018 г.</v>
      </c>
      <c r="G59" s="1545" t="str">
        <f t="shared" si="102"/>
        <v>2019 г.</v>
      </c>
      <c r="H59" s="1545" t="str">
        <f t="shared" si="102"/>
        <v>2020 г.</v>
      </c>
      <c r="I59" s="1545" t="str">
        <f t="shared" si="102"/>
        <v>2021 г.</v>
      </c>
      <c r="J59" s="1545" t="str">
        <f>C59</f>
        <v>2015 г.</v>
      </c>
      <c r="K59" s="1545" t="str">
        <f t="shared" ref="K59" si="103">D59</f>
        <v>2016 г.</v>
      </c>
      <c r="L59" s="1545" t="str">
        <f t="shared" ref="L59" si="104">E59</f>
        <v>2017 г.</v>
      </c>
      <c r="M59" s="1545" t="str">
        <f t="shared" ref="M59" si="105">F59</f>
        <v>2018 г.</v>
      </c>
      <c r="N59" s="1545" t="str">
        <f t="shared" ref="N59" si="106">G59</f>
        <v>2019 г.</v>
      </c>
      <c r="O59" s="1545" t="str">
        <f t="shared" ref="O59" si="107">H59</f>
        <v>2020 г.</v>
      </c>
      <c r="P59" s="1545" t="str">
        <f t="shared" ref="P59" si="108">I59</f>
        <v>2021 г.</v>
      </c>
    </row>
    <row r="60" spans="1:23" ht="24">
      <c r="A60" s="765">
        <v>1</v>
      </c>
      <c r="B60" s="773" t="s">
        <v>931</v>
      </c>
      <c r="C60" s="1610">
        <v>0</v>
      </c>
      <c r="D60" s="1610">
        <v>0</v>
      </c>
      <c r="E60" s="1610">
        <v>0</v>
      </c>
      <c r="F60" s="1610">
        <v>0</v>
      </c>
      <c r="G60" s="1610">
        <v>0</v>
      </c>
      <c r="H60" s="1610">
        <v>0</v>
      </c>
      <c r="I60" s="1610">
        <v>0</v>
      </c>
      <c r="J60" s="1546"/>
      <c r="K60" s="1546"/>
      <c r="L60" s="1546"/>
      <c r="M60" s="1546"/>
      <c r="N60" s="1546"/>
      <c r="O60" s="1546"/>
      <c r="P60" s="1546"/>
    </row>
    <row r="61" spans="1:23" ht="24">
      <c r="A61" s="765">
        <v>2</v>
      </c>
      <c r="B61" s="773" t="s">
        <v>932</v>
      </c>
      <c r="C61" s="1610">
        <v>0</v>
      </c>
      <c r="D61" s="1610">
        <v>0</v>
      </c>
      <c r="E61" s="1610">
        <v>0</v>
      </c>
      <c r="F61" s="1610">
        <v>0</v>
      </c>
      <c r="G61" s="1610">
        <v>0</v>
      </c>
      <c r="H61" s="1610">
        <v>0</v>
      </c>
      <c r="I61" s="1610">
        <v>0</v>
      </c>
      <c r="J61" s="1546"/>
      <c r="K61" s="1546"/>
      <c r="L61" s="1546"/>
      <c r="M61" s="1546"/>
      <c r="N61" s="1546"/>
      <c r="O61" s="1546"/>
      <c r="P61" s="1546"/>
    </row>
    <row r="62" spans="1:23" ht="24">
      <c r="A62" s="770">
        <v>3</v>
      </c>
      <c r="B62" s="774" t="s">
        <v>933</v>
      </c>
      <c r="C62" s="1610">
        <v>0</v>
      </c>
      <c r="D62" s="1610">
        <v>0</v>
      </c>
      <c r="E62" s="1610">
        <v>0</v>
      </c>
      <c r="F62" s="1610">
        <v>0</v>
      </c>
      <c r="G62" s="1610">
        <v>0</v>
      </c>
      <c r="H62" s="1610">
        <v>0</v>
      </c>
      <c r="I62" s="1610">
        <v>0</v>
      </c>
      <c r="J62" s="1610">
        <v>0</v>
      </c>
      <c r="K62" s="1610">
        <v>0</v>
      </c>
      <c r="L62" s="1610">
        <v>0</v>
      </c>
      <c r="M62" s="1610">
        <v>0</v>
      </c>
      <c r="N62" s="1610">
        <v>0</v>
      </c>
      <c r="O62" s="1610">
        <v>0</v>
      </c>
      <c r="P62" s="1610">
        <v>0</v>
      </c>
    </row>
    <row r="63" spans="1:23" ht="24">
      <c r="A63" s="2584">
        <v>4</v>
      </c>
      <c r="B63" s="773" t="s">
        <v>1193</v>
      </c>
      <c r="C63" s="3402"/>
      <c r="D63" s="3402"/>
      <c r="E63" s="3402"/>
      <c r="F63" s="3402"/>
      <c r="G63" s="3402"/>
      <c r="H63" s="3402"/>
      <c r="I63" s="3402"/>
      <c r="J63" s="3402"/>
      <c r="K63" s="3402"/>
      <c r="L63" s="3402"/>
      <c r="M63" s="3402"/>
      <c r="N63" s="3402"/>
      <c r="O63" s="3402"/>
      <c r="P63" s="3402"/>
    </row>
    <row r="65" spans="1:28" ht="19.5" customHeight="1">
      <c r="A65" s="2663" t="s">
        <v>1</v>
      </c>
      <c r="B65" s="2664" t="s">
        <v>1475</v>
      </c>
      <c r="C65" s="1545" t="str">
        <f>C59</f>
        <v>2015 г.</v>
      </c>
      <c r="D65" s="1545" t="str">
        <f t="shared" ref="D65:I65" si="109">D59</f>
        <v>2016 г.</v>
      </c>
      <c r="E65" s="1545" t="str">
        <f t="shared" si="109"/>
        <v>2017 г.</v>
      </c>
      <c r="F65" s="1545" t="str">
        <f t="shared" si="109"/>
        <v>2018 г.</v>
      </c>
      <c r="G65" s="1545" t="str">
        <f t="shared" si="109"/>
        <v>2019 г.</v>
      </c>
      <c r="H65" s="1545" t="str">
        <f t="shared" si="109"/>
        <v>2020 г.</v>
      </c>
      <c r="I65" s="1545" t="str">
        <f t="shared" si="109"/>
        <v>2021 г.</v>
      </c>
    </row>
    <row r="66" spans="1:28" ht="36">
      <c r="A66" s="2665">
        <v>1</v>
      </c>
      <c r="B66" s="2666" t="s">
        <v>1510</v>
      </c>
      <c r="C66" s="2635">
        <v>7.4529999999999999E-2</v>
      </c>
      <c r="D66" s="2635">
        <v>7.2029999999999997E-2</v>
      </c>
      <c r="E66" s="2635">
        <v>7.2029999999999997E-2</v>
      </c>
      <c r="F66" s="2635">
        <v>7.2029999999999997E-2</v>
      </c>
      <c r="G66" s="2635">
        <v>7.2029999999999997E-2</v>
      </c>
      <c r="H66" s="2635">
        <v>7.2029999999999997E-2</v>
      </c>
      <c r="I66" s="2635">
        <v>7.2029999999999997E-2</v>
      </c>
    </row>
    <row r="67" spans="1:28" ht="36">
      <c r="A67" s="2665">
        <v>2</v>
      </c>
      <c r="B67" s="773" t="s">
        <v>1511</v>
      </c>
      <c r="C67" s="2635">
        <v>7.5329999999999994E-2</v>
      </c>
      <c r="D67" s="2635">
        <v>7.4029999999999999E-2</v>
      </c>
      <c r="E67" s="2635">
        <v>7.4029999999999999E-2</v>
      </c>
      <c r="F67" s="2635">
        <v>7.4029999999999999E-2</v>
      </c>
      <c r="G67" s="2635">
        <v>7.4029999999999999E-2</v>
      </c>
      <c r="H67" s="2635">
        <v>7.4029999999999999E-2</v>
      </c>
      <c r="I67" s="2635">
        <v>7.4029999999999999E-2</v>
      </c>
    </row>
    <row r="68" spans="1:28" ht="36">
      <c r="A68" s="2665">
        <v>3</v>
      </c>
      <c r="B68" s="773" t="s">
        <v>1512</v>
      </c>
      <c r="C68" s="2635">
        <f>J50+J51</f>
        <v>2073.0568200000002</v>
      </c>
      <c r="D68" s="2635">
        <v>0</v>
      </c>
      <c r="E68" s="2635">
        <v>0</v>
      </c>
      <c r="F68" s="2635">
        <v>0</v>
      </c>
      <c r="G68" s="2635">
        <v>0</v>
      </c>
      <c r="H68" s="2635">
        <v>0</v>
      </c>
      <c r="I68" s="2635">
        <v>0</v>
      </c>
    </row>
    <row r="71" spans="1:28">
      <c r="A71" s="1553"/>
      <c r="B71" s="1554" t="str">
        <f>'5. Персонал'!B43</f>
        <v>Дата: 27.06.2016г.</v>
      </c>
      <c r="C71" s="1555"/>
      <c r="D71" s="1555"/>
      <c r="E71" s="1555"/>
      <c r="F71" s="1555"/>
      <c r="G71" s="1555"/>
    </row>
    <row r="72" spans="1:28">
      <c r="A72" s="1556"/>
      <c r="B72" s="1557"/>
      <c r="C72" s="1558"/>
      <c r="D72" s="1558"/>
      <c r="E72" s="1559" t="str">
        <f>'5. Персонал'!AR42</f>
        <v>Главен счетоводител:</v>
      </c>
      <c r="F72" s="1558" t="s">
        <v>4</v>
      </c>
      <c r="G72" s="1555"/>
    </row>
    <row r="73" spans="1:28">
      <c r="A73" s="1556"/>
      <c r="B73" s="1556"/>
      <c r="C73" s="1555"/>
      <c r="D73" s="1555"/>
      <c r="E73" s="1560"/>
      <c r="F73" s="1558"/>
      <c r="G73" s="1561" t="s">
        <v>246</v>
      </c>
    </row>
    <row r="74" spans="1:28">
      <c r="A74" s="1556"/>
      <c r="B74" s="1556"/>
      <c r="C74" s="1555"/>
      <c r="D74" s="1555"/>
      <c r="E74" s="1560"/>
      <c r="F74" s="1558"/>
      <c r="G74" s="1561"/>
    </row>
    <row r="75" spans="1:28" s="684" customFormat="1" ht="12">
      <c r="C75" s="1562"/>
      <c r="D75" s="1562"/>
      <c r="E75" s="1563"/>
      <c r="F75" s="1563"/>
      <c r="G75" s="1563"/>
      <c r="H75" s="1562"/>
      <c r="I75" s="1562"/>
      <c r="J75" s="1562"/>
      <c r="K75" s="1562"/>
      <c r="L75" s="1562"/>
      <c r="M75" s="1562"/>
      <c r="N75" s="1562"/>
      <c r="O75" s="1562"/>
      <c r="P75" s="1562"/>
      <c r="Q75" s="1562"/>
      <c r="R75" s="1562"/>
      <c r="S75" s="1562"/>
      <c r="T75" s="1562"/>
      <c r="U75" s="1562"/>
      <c r="V75" s="1562"/>
      <c r="W75" s="1562"/>
      <c r="X75" s="1562"/>
      <c r="Y75" s="1562"/>
      <c r="Z75" s="1562"/>
      <c r="AA75" s="1562"/>
      <c r="AB75" s="1562"/>
    </row>
    <row r="76" spans="1:28" s="683" customFormat="1">
      <c r="C76" s="1564"/>
      <c r="D76" s="1564"/>
      <c r="E76" s="1559" t="str">
        <f>'5. Персонал'!AR46</f>
        <v>Управител:</v>
      </c>
      <c r="F76" s="1558" t="s">
        <v>4</v>
      </c>
      <c r="G76" s="1555"/>
      <c r="H76" s="1539"/>
      <c r="I76" s="1565"/>
      <c r="J76" s="1564"/>
      <c r="K76" s="1566"/>
      <c r="L76" s="1564"/>
      <c r="M76" s="1564"/>
      <c r="N76" s="1564"/>
      <c r="O76" s="1564"/>
      <c r="P76" s="1564"/>
      <c r="Q76" s="1564"/>
      <c r="R76" s="1564"/>
      <c r="S76" s="1564"/>
      <c r="T76" s="1564"/>
      <c r="U76" s="1564"/>
      <c r="V76" s="1564"/>
      <c r="W76" s="1564"/>
      <c r="X76" s="1564"/>
      <c r="Y76" s="1564"/>
      <c r="Z76" s="1564"/>
      <c r="AA76" s="1564"/>
      <c r="AB76" s="1564"/>
    </row>
    <row r="77" spans="1:28">
      <c r="G77" s="1561" t="s">
        <v>6</v>
      </c>
    </row>
    <row r="80" spans="1:28">
      <c r="A80" s="3403" t="s">
        <v>247</v>
      </c>
      <c r="B80" s="3403"/>
      <c r="C80" s="3403"/>
      <c r="D80" s="3403"/>
    </row>
    <row r="81" spans="1:21">
      <c r="A81" s="3404" t="s">
        <v>248</v>
      </c>
      <c r="B81" s="3404"/>
      <c r="C81" s="3404"/>
      <c r="D81" s="3404"/>
    </row>
    <row r="82" spans="1:21" ht="36" customHeight="1">
      <c r="A82" s="3368" t="s">
        <v>1551</v>
      </c>
      <c r="B82" s="3368"/>
      <c r="C82" s="3368"/>
      <c r="D82" s="3368"/>
      <c r="E82" s="3368"/>
      <c r="F82" s="3368"/>
      <c r="G82" s="3368"/>
      <c r="H82" s="3368"/>
      <c r="I82" s="3368"/>
      <c r="J82" s="3368"/>
      <c r="K82" s="3368"/>
      <c r="L82" s="3368"/>
      <c r="M82" s="3368"/>
      <c r="N82" s="3368"/>
      <c r="O82" s="3368"/>
      <c r="P82" s="3368"/>
      <c r="Q82" s="3368"/>
      <c r="R82" s="3368"/>
      <c r="S82" s="3368"/>
      <c r="T82" s="3368"/>
      <c r="U82" s="3368"/>
    </row>
  </sheetData>
  <sheetProtection password="C6DB" sheet="1" objects="1" scenarios="1" formatCells="0" formatColumns="0" formatRows="0"/>
  <mergeCells count="40">
    <mergeCell ref="A82:U82"/>
    <mergeCell ref="J58:P58"/>
    <mergeCell ref="C57:P57"/>
    <mergeCell ref="C63:P63"/>
    <mergeCell ref="A80:D80"/>
    <mergeCell ref="A81:D81"/>
    <mergeCell ref="A57:A59"/>
    <mergeCell ref="B57:B59"/>
    <mergeCell ref="C58:I58"/>
    <mergeCell ref="V5:W5"/>
    <mergeCell ref="A2:W2"/>
    <mergeCell ref="A3:W3"/>
    <mergeCell ref="A4:W4"/>
    <mergeCell ref="A6:A8"/>
    <mergeCell ref="B6:B8"/>
    <mergeCell ref="C6:W6"/>
    <mergeCell ref="C7:I7"/>
    <mergeCell ref="J7:P7"/>
    <mergeCell ref="Q7:W7"/>
    <mergeCell ref="J32:P32"/>
    <mergeCell ref="Q32:W32"/>
    <mergeCell ref="C20:I20"/>
    <mergeCell ref="J20:P20"/>
    <mergeCell ref="Q20:W20"/>
    <mergeCell ref="A17:C17"/>
    <mergeCell ref="A29:C29"/>
    <mergeCell ref="A44:A46"/>
    <mergeCell ref="B44:B46"/>
    <mergeCell ref="C44:W44"/>
    <mergeCell ref="C45:I45"/>
    <mergeCell ref="J45:P45"/>
    <mergeCell ref="Q45:W45"/>
    <mergeCell ref="A42:C42"/>
    <mergeCell ref="B19:B21"/>
    <mergeCell ref="C19:W19"/>
    <mergeCell ref="A19:A21"/>
    <mergeCell ref="A31:A33"/>
    <mergeCell ref="B31:B33"/>
    <mergeCell ref="C31:W31"/>
    <mergeCell ref="C32:I32"/>
  </mergeCells>
  <printOptions horizontalCentered="1"/>
  <pageMargins left="0.70866141732283472" right="0.70866141732283472" top="0.74803149606299213" bottom="0.74803149606299213" header="0.31496062992125984" footer="0.31496062992125984"/>
  <pageSetup paperSize="9" scale="51" orientation="landscape" r:id="rId1"/>
  <headerFooter>
    <oddFooter>&amp;A&amp;RPage &amp;P</oddFooter>
  </headerFooter>
  <rowBreaks count="1" manualBreakCount="1">
    <brk id="42" max="2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26"/>
  </sheetPr>
  <dimension ref="A1:N48"/>
  <sheetViews>
    <sheetView showGridLines="0" view="pageBreakPreview" zoomScaleNormal="100" zoomScaleSheetLayoutView="100" workbookViewId="0">
      <pane xSplit="2" ySplit="9" topLeftCell="C31" activePane="bottomRight" state="frozen"/>
      <selection pane="topRight" activeCell="C1" sqref="C1"/>
      <selection pane="bottomLeft" activeCell="A10" sqref="A10"/>
      <selection pane="bottomRight" activeCell="L8" sqref="L8"/>
    </sheetView>
  </sheetViews>
  <sheetFormatPr defaultRowHeight="12.75"/>
  <cols>
    <col min="1" max="1" width="5.28515625" style="450" customWidth="1"/>
    <col min="2" max="2" width="67.5703125" style="26" bestFit="1" customWidth="1"/>
    <col min="3" max="3" width="10.28515625" style="26" customWidth="1"/>
    <col min="4" max="10" width="10.7109375" style="564" customWidth="1"/>
    <col min="11" max="11" width="9.140625" style="26"/>
    <col min="12" max="12" width="11.28515625" style="26" bestFit="1" customWidth="1"/>
    <col min="13" max="13" width="9.7109375" style="26" bestFit="1" customWidth="1"/>
    <col min="14" max="256" width="9.140625" style="26"/>
    <col min="257" max="257" width="5.28515625" style="26" customWidth="1"/>
    <col min="258" max="258" width="56.42578125" style="26" customWidth="1"/>
    <col min="259" max="259" width="10.28515625" style="26" customWidth="1"/>
    <col min="260" max="266" width="10.7109375" style="26" customWidth="1"/>
    <col min="267" max="267" width="9.140625" style="26"/>
    <col min="268" max="268" width="11.28515625" style="26" bestFit="1" customWidth="1"/>
    <col min="269" max="269" width="9.7109375" style="26" bestFit="1" customWidth="1"/>
    <col min="270" max="512" width="9.140625" style="26"/>
    <col min="513" max="513" width="5.28515625" style="26" customWidth="1"/>
    <col min="514" max="514" width="56.42578125" style="26" customWidth="1"/>
    <col min="515" max="515" width="10.28515625" style="26" customWidth="1"/>
    <col min="516" max="522" width="10.7109375" style="26" customWidth="1"/>
    <col min="523" max="523" width="9.140625" style="26"/>
    <col min="524" max="524" width="11.28515625" style="26" bestFit="1" customWidth="1"/>
    <col min="525" max="525" width="9.7109375" style="26" bestFit="1" customWidth="1"/>
    <col min="526" max="768" width="9.140625" style="26"/>
    <col min="769" max="769" width="5.28515625" style="26" customWidth="1"/>
    <col min="770" max="770" width="56.42578125" style="26" customWidth="1"/>
    <col min="771" max="771" width="10.28515625" style="26" customWidth="1"/>
    <col min="772" max="778" width="10.7109375" style="26" customWidth="1"/>
    <col min="779" max="779" width="9.140625" style="26"/>
    <col min="780" max="780" width="11.28515625" style="26" bestFit="1" customWidth="1"/>
    <col min="781" max="781" width="9.7109375" style="26" bestFit="1" customWidth="1"/>
    <col min="782" max="1024" width="9.140625" style="26"/>
    <col min="1025" max="1025" width="5.28515625" style="26" customWidth="1"/>
    <col min="1026" max="1026" width="56.42578125" style="26" customWidth="1"/>
    <col min="1027" max="1027" width="10.28515625" style="26" customWidth="1"/>
    <col min="1028" max="1034" width="10.7109375" style="26" customWidth="1"/>
    <col min="1035" max="1035" width="9.140625" style="26"/>
    <col min="1036" max="1036" width="11.28515625" style="26" bestFit="1" customWidth="1"/>
    <col min="1037" max="1037" width="9.7109375" style="26" bestFit="1" customWidth="1"/>
    <col min="1038" max="1280" width="9.140625" style="26"/>
    <col min="1281" max="1281" width="5.28515625" style="26" customWidth="1"/>
    <col min="1282" max="1282" width="56.42578125" style="26" customWidth="1"/>
    <col min="1283" max="1283" width="10.28515625" style="26" customWidth="1"/>
    <col min="1284" max="1290" width="10.7109375" style="26" customWidth="1"/>
    <col min="1291" max="1291" width="9.140625" style="26"/>
    <col min="1292" max="1292" width="11.28515625" style="26" bestFit="1" customWidth="1"/>
    <col min="1293" max="1293" width="9.7109375" style="26" bestFit="1" customWidth="1"/>
    <col min="1294" max="1536" width="9.140625" style="26"/>
    <col min="1537" max="1537" width="5.28515625" style="26" customWidth="1"/>
    <col min="1538" max="1538" width="56.42578125" style="26" customWidth="1"/>
    <col min="1539" max="1539" width="10.28515625" style="26" customWidth="1"/>
    <col min="1540" max="1546" width="10.7109375" style="26" customWidth="1"/>
    <col min="1547" max="1547" width="9.140625" style="26"/>
    <col min="1548" max="1548" width="11.28515625" style="26" bestFit="1" customWidth="1"/>
    <col min="1549" max="1549" width="9.7109375" style="26" bestFit="1" customWidth="1"/>
    <col min="1550" max="1792" width="9.140625" style="26"/>
    <col min="1793" max="1793" width="5.28515625" style="26" customWidth="1"/>
    <col min="1794" max="1794" width="56.42578125" style="26" customWidth="1"/>
    <col min="1795" max="1795" width="10.28515625" style="26" customWidth="1"/>
    <col min="1796" max="1802" width="10.7109375" style="26" customWidth="1"/>
    <col min="1803" max="1803" width="9.140625" style="26"/>
    <col min="1804" max="1804" width="11.28515625" style="26" bestFit="1" customWidth="1"/>
    <col min="1805" max="1805" width="9.7109375" style="26" bestFit="1" customWidth="1"/>
    <col min="1806" max="2048" width="9.140625" style="26"/>
    <col min="2049" max="2049" width="5.28515625" style="26" customWidth="1"/>
    <col min="2050" max="2050" width="56.42578125" style="26" customWidth="1"/>
    <col min="2051" max="2051" width="10.28515625" style="26" customWidth="1"/>
    <col min="2052" max="2058" width="10.7109375" style="26" customWidth="1"/>
    <col min="2059" max="2059" width="9.140625" style="26"/>
    <col min="2060" max="2060" width="11.28515625" style="26" bestFit="1" customWidth="1"/>
    <col min="2061" max="2061" width="9.7109375" style="26" bestFit="1" customWidth="1"/>
    <col min="2062" max="2304" width="9.140625" style="26"/>
    <col min="2305" max="2305" width="5.28515625" style="26" customWidth="1"/>
    <col min="2306" max="2306" width="56.42578125" style="26" customWidth="1"/>
    <col min="2307" max="2307" width="10.28515625" style="26" customWidth="1"/>
    <col min="2308" max="2314" width="10.7109375" style="26" customWidth="1"/>
    <col min="2315" max="2315" width="9.140625" style="26"/>
    <col min="2316" max="2316" width="11.28515625" style="26" bestFit="1" customWidth="1"/>
    <col min="2317" max="2317" width="9.7109375" style="26" bestFit="1" customWidth="1"/>
    <col min="2318" max="2560" width="9.140625" style="26"/>
    <col min="2561" max="2561" width="5.28515625" style="26" customWidth="1"/>
    <col min="2562" max="2562" width="56.42578125" style="26" customWidth="1"/>
    <col min="2563" max="2563" width="10.28515625" style="26" customWidth="1"/>
    <col min="2564" max="2570" width="10.7109375" style="26" customWidth="1"/>
    <col min="2571" max="2571" width="9.140625" style="26"/>
    <col min="2572" max="2572" width="11.28515625" style="26" bestFit="1" customWidth="1"/>
    <col min="2573" max="2573" width="9.7109375" style="26" bestFit="1" customWidth="1"/>
    <col min="2574" max="2816" width="9.140625" style="26"/>
    <col min="2817" max="2817" width="5.28515625" style="26" customWidth="1"/>
    <col min="2818" max="2818" width="56.42578125" style="26" customWidth="1"/>
    <col min="2819" max="2819" width="10.28515625" style="26" customWidth="1"/>
    <col min="2820" max="2826" width="10.7109375" style="26" customWidth="1"/>
    <col min="2827" max="2827" width="9.140625" style="26"/>
    <col min="2828" max="2828" width="11.28515625" style="26" bestFit="1" customWidth="1"/>
    <col min="2829" max="2829" width="9.7109375" style="26" bestFit="1" customWidth="1"/>
    <col min="2830" max="3072" width="9.140625" style="26"/>
    <col min="3073" max="3073" width="5.28515625" style="26" customWidth="1"/>
    <col min="3074" max="3074" width="56.42578125" style="26" customWidth="1"/>
    <col min="3075" max="3075" width="10.28515625" style="26" customWidth="1"/>
    <col min="3076" max="3082" width="10.7109375" style="26" customWidth="1"/>
    <col min="3083" max="3083" width="9.140625" style="26"/>
    <col min="3084" max="3084" width="11.28515625" style="26" bestFit="1" customWidth="1"/>
    <col min="3085" max="3085" width="9.7109375" style="26" bestFit="1" customWidth="1"/>
    <col min="3086" max="3328" width="9.140625" style="26"/>
    <col min="3329" max="3329" width="5.28515625" style="26" customWidth="1"/>
    <col min="3330" max="3330" width="56.42578125" style="26" customWidth="1"/>
    <col min="3331" max="3331" width="10.28515625" style="26" customWidth="1"/>
    <col min="3332" max="3338" width="10.7109375" style="26" customWidth="1"/>
    <col min="3339" max="3339" width="9.140625" style="26"/>
    <col min="3340" max="3340" width="11.28515625" style="26" bestFit="1" customWidth="1"/>
    <col min="3341" max="3341" width="9.7109375" style="26" bestFit="1" customWidth="1"/>
    <col min="3342" max="3584" width="9.140625" style="26"/>
    <col min="3585" max="3585" width="5.28515625" style="26" customWidth="1"/>
    <col min="3586" max="3586" width="56.42578125" style="26" customWidth="1"/>
    <col min="3587" max="3587" width="10.28515625" style="26" customWidth="1"/>
    <col min="3588" max="3594" width="10.7109375" style="26" customWidth="1"/>
    <col min="3595" max="3595" width="9.140625" style="26"/>
    <col min="3596" max="3596" width="11.28515625" style="26" bestFit="1" customWidth="1"/>
    <col min="3597" max="3597" width="9.7109375" style="26" bestFit="1" customWidth="1"/>
    <col min="3598" max="3840" width="9.140625" style="26"/>
    <col min="3841" max="3841" width="5.28515625" style="26" customWidth="1"/>
    <col min="3842" max="3842" width="56.42578125" style="26" customWidth="1"/>
    <col min="3843" max="3843" width="10.28515625" style="26" customWidth="1"/>
    <col min="3844" max="3850" width="10.7109375" style="26" customWidth="1"/>
    <col min="3851" max="3851" width="9.140625" style="26"/>
    <col min="3852" max="3852" width="11.28515625" style="26" bestFit="1" customWidth="1"/>
    <col min="3853" max="3853" width="9.7109375" style="26" bestFit="1" customWidth="1"/>
    <col min="3854" max="4096" width="9.140625" style="26"/>
    <col min="4097" max="4097" width="5.28515625" style="26" customWidth="1"/>
    <col min="4098" max="4098" width="56.42578125" style="26" customWidth="1"/>
    <col min="4099" max="4099" width="10.28515625" style="26" customWidth="1"/>
    <col min="4100" max="4106" width="10.7109375" style="26" customWidth="1"/>
    <col min="4107" max="4107" width="9.140625" style="26"/>
    <col min="4108" max="4108" width="11.28515625" style="26" bestFit="1" customWidth="1"/>
    <col min="4109" max="4109" width="9.7109375" style="26" bestFit="1" customWidth="1"/>
    <col min="4110" max="4352" width="9.140625" style="26"/>
    <col min="4353" max="4353" width="5.28515625" style="26" customWidth="1"/>
    <col min="4354" max="4354" width="56.42578125" style="26" customWidth="1"/>
    <col min="4355" max="4355" width="10.28515625" style="26" customWidth="1"/>
    <col min="4356" max="4362" width="10.7109375" style="26" customWidth="1"/>
    <col min="4363" max="4363" width="9.140625" style="26"/>
    <col min="4364" max="4364" width="11.28515625" style="26" bestFit="1" customWidth="1"/>
    <col min="4365" max="4365" width="9.7109375" style="26" bestFit="1" customWidth="1"/>
    <col min="4366" max="4608" width="9.140625" style="26"/>
    <col min="4609" max="4609" width="5.28515625" style="26" customWidth="1"/>
    <col min="4610" max="4610" width="56.42578125" style="26" customWidth="1"/>
    <col min="4611" max="4611" width="10.28515625" style="26" customWidth="1"/>
    <col min="4612" max="4618" width="10.7109375" style="26" customWidth="1"/>
    <col min="4619" max="4619" width="9.140625" style="26"/>
    <col min="4620" max="4620" width="11.28515625" style="26" bestFit="1" customWidth="1"/>
    <col min="4621" max="4621" width="9.7109375" style="26" bestFit="1" customWidth="1"/>
    <col min="4622" max="4864" width="9.140625" style="26"/>
    <col min="4865" max="4865" width="5.28515625" style="26" customWidth="1"/>
    <col min="4866" max="4866" width="56.42578125" style="26" customWidth="1"/>
    <col min="4867" max="4867" width="10.28515625" style="26" customWidth="1"/>
    <col min="4868" max="4874" width="10.7109375" style="26" customWidth="1"/>
    <col min="4875" max="4875" width="9.140625" style="26"/>
    <col min="4876" max="4876" width="11.28515625" style="26" bestFit="1" customWidth="1"/>
    <col min="4877" max="4877" width="9.7109375" style="26" bestFit="1" customWidth="1"/>
    <col min="4878" max="5120" width="9.140625" style="26"/>
    <col min="5121" max="5121" width="5.28515625" style="26" customWidth="1"/>
    <col min="5122" max="5122" width="56.42578125" style="26" customWidth="1"/>
    <col min="5123" max="5123" width="10.28515625" style="26" customWidth="1"/>
    <col min="5124" max="5130" width="10.7109375" style="26" customWidth="1"/>
    <col min="5131" max="5131" width="9.140625" style="26"/>
    <col min="5132" max="5132" width="11.28515625" style="26" bestFit="1" customWidth="1"/>
    <col min="5133" max="5133" width="9.7109375" style="26" bestFit="1" customWidth="1"/>
    <col min="5134" max="5376" width="9.140625" style="26"/>
    <col min="5377" max="5377" width="5.28515625" style="26" customWidth="1"/>
    <col min="5378" max="5378" width="56.42578125" style="26" customWidth="1"/>
    <col min="5379" max="5379" width="10.28515625" style="26" customWidth="1"/>
    <col min="5380" max="5386" width="10.7109375" style="26" customWidth="1"/>
    <col min="5387" max="5387" width="9.140625" style="26"/>
    <col min="5388" max="5388" width="11.28515625" style="26" bestFit="1" customWidth="1"/>
    <col min="5389" max="5389" width="9.7109375" style="26" bestFit="1" customWidth="1"/>
    <col min="5390" max="5632" width="9.140625" style="26"/>
    <col min="5633" max="5633" width="5.28515625" style="26" customWidth="1"/>
    <col min="5634" max="5634" width="56.42578125" style="26" customWidth="1"/>
    <col min="5635" max="5635" width="10.28515625" style="26" customWidth="1"/>
    <col min="5636" max="5642" width="10.7109375" style="26" customWidth="1"/>
    <col min="5643" max="5643" width="9.140625" style="26"/>
    <col min="5644" max="5644" width="11.28515625" style="26" bestFit="1" customWidth="1"/>
    <col min="5645" max="5645" width="9.7109375" style="26" bestFit="1" customWidth="1"/>
    <col min="5646" max="5888" width="9.140625" style="26"/>
    <col min="5889" max="5889" width="5.28515625" style="26" customWidth="1"/>
    <col min="5890" max="5890" width="56.42578125" style="26" customWidth="1"/>
    <col min="5891" max="5891" width="10.28515625" style="26" customWidth="1"/>
    <col min="5892" max="5898" width="10.7109375" style="26" customWidth="1"/>
    <col min="5899" max="5899" width="9.140625" style="26"/>
    <col min="5900" max="5900" width="11.28515625" style="26" bestFit="1" customWidth="1"/>
    <col min="5901" max="5901" width="9.7109375" style="26" bestFit="1" customWidth="1"/>
    <col min="5902" max="6144" width="9.140625" style="26"/>
    <col min="6145" max="6145" width="5.28515625" style="26" customWidth="1"/>
    <col min="6146" max="6146" width="56.42578125" style="26" customWidth="1"/>
    <col min="6147" max="6147" width="10.28515625" style="26" customWidth="1"/>
    <col min="6148" max="6154" width="10.7109375" style="26" customWidth="1"/>
    <col min="6155" max="6155" width="9.140625" style="26"/>
    <col min="6156" max="6156" width="11.28515625" style="26" bestFit="1" customWidth="1"/>
    <col min="6157" max="6157" width="9.7109375" style="26" bestFit="1" customWidth="1"/>
    <col min="6158" max="6400" width="9.140625" style="26"/>
    <col min="6401" max="6401" width="5.28515625" style="26" customWidth="1"/>
    <col min="6402" max="6402" width="56.42578125" style="26" customWidth="1"/>
    <col min="6403" max="6403" width="10.28515625" style="26" customWidth="1"/>
    <col min="6404" max="6410" width="10.7109375" style="26" customWidth="1"/>
    <col min="6411" max="6411" width="9.140625" style="26"/>
    <col min="6412" max="6412" width="11.28515625" style="26" bestFit="1" customWidth="1"/>
    <col min="6413" max="6413" width="9.7109375" style="26" bestFit="1" customWidth="1"/>
    <col min="6414" max="6656" width="9.140625" style="26"/>
    <col min="6657" max="6657" width="5.28515625" style="26" customWidth="1"/>
    <col min="6658" max="6658" width="56.42578125" style="26" customWidth="1"/>
    <col min="6659" max="6659" width="10.28515625" style="26" customWidth="1"/>
    <col min="6660" max="6666" width="10.7109375" style="26" customWidth="1"/>
    <col min="6667" max="6667" width="9.140625" style="26"/>
    <col min="6668" max="6668" width="11.28515625" style="26" bestFit="1" customWidth="1"/>
    <col min="6669" max="6669" width="9.7109375" style="26" bestFit="1" customWidth="1"/>
    <col min="6670" max="6912" width="9.140625" style="26"/>
    <col min="6913" max="6913" width="5.28515625" style="26" customWidth="1"/>
    <col min="6914" max="6914" width="56.42578125" style="26" customWidth="1"/>
    <col min="6915" max="6915" width="10.28515625" style="26" customWidth="1"/>
    <col min="6916" max="6922" width="10.7109375" style="26" customWidth="1"/>
    <col min="6923" max="6923" width="9.140625" style="26"/>
    <col min="6924" max="6924" width="11.28515625" style="26" bestFit="1" customWidth="1"/>
    <col min="6925" max="6925" width="9.7109375" style="26" bestFit="1" customWidth="1"/>
    <col min="6926" max="7168" width="9.140625" style="26"/>
    <col min="7169" max="7169" width="5.28515625" style="26" customWidth="1"/>
    <col min="7170" max="7170" width="56.42578125" style="26" customWidth="1"/>
    <col min="7171" max="7171" width="10.28515625" style="26" customWidth="1"/>
    <col min="7172" max="7178" width="10.7109375" style="26" customWidth="1"/>
    <col min="7179" max="7179" width="9.140625" style="26"/>
    <col min="7180" max="7180" width="11.28515625" style="26" bestFit="1" customWidth="1"/>
    <col min="7181" max="7181" width="9.7109375" style="26" bestFit="1" customWidth="1"/>
    <col min="7182" max="7424" width="9.140625" style="26"/>
    <col min="7425" max="7425" width="5.28515625" style="26" customWidth="1"/>
    <col min="7426" max="7426" width="56.42578125" style="26" customWidth="1"/>
    <col min="7427" max="7427" width="10.28515625" style="26" customWidth="1"/>
    <col min="7428" max="7434" width="10.7109375" style="26" customWidth="1"/>
    <col min="7435" max="7435" width="9.140625" style="26"/>
    <col min="7436" max="7436" width="11.28515625" style="26" bestFit="1" customWidth="1"/>
    <col min="7437" max="7437" width="9.7109375" style="26" bestFit="1" customWidth="1"/>
    <col min="7438" max="7680" width="9.140625" style="26"/>
    <col min="7681" max="7681" width="5.28515625" style="26" customWidth="1"/>
    <col min="7682" max="7682" width="56.42578125" style="26" customWidth="1"/>
    <col min="7683" max="7683" width="10.28515625" style="26" customWidth="1"/>
    <col min="7684" max="7690" width="10.7109375" style="26" customWidth="1"/>
    <col min="7691" max="7691" width="9.140625" style="26"/>
    <col min="7692" max="7692" width="11.28515625" style="26" bestFit="1" customWidth="1"/>
    <col min="7693" max="7693" width="9.7109375" style="26" bestFit="1" customWidth="1"/>
    <col min="7694" max="7936" width="9.140625" style="26"/>
    <col min="7937" max="7937" width="5.28515625" style="26" customWidth="1"/>
    <col min="7938" max="7938" width="56.42578125" style="26" customWidth="1"/>
    <col min="7939" max="7939" width="10.28515625" style="26" customWidth="1"/>
    <col min="7940" max="7946" width="10.7109375" style="26" customWidth="1"/>
    <col min="7947" max="7947" width="9.140625" style="26"/>
    <col min="7948" max="7948" width="11.28515625" style="26" bestFit="1" customWidth="1"/>
    <col min="7949" max="7949" width="9.7109375" style="26" bestFit="1" customWidth="1"/>
    <col min="7950" max="8192" width="9.140625" style="26"/>
    <col min="8193" max="8193" width="5.28515625" style="26" customWidth="1"/>
    <col min="8194" max="8194" width="56.42578125" style="26" customWidth="1"/>
    <col min="8195" max="8195" width="10.28515625" style="26" customWidth="1"/>
    <col min="8196" max="8202" width="10.7109375" style="26" customWidth="1"/>
    <col min="8203" max="8203" width="9.140625" style="26"/>
    <col min="8204" max="8204" width="11.28515625" style="26" bestFit="1" customWidth="1"/>
    <col min="8205" max="8205" width="9.7109375" style="26" bestFit="1" customWidth="1"/>
    <col min="8206" max="8448" width="9.140625" style="26"/>
    <col min="8449" max="8449" width="5.28515625" style="26" customWidth="1"/>
    <col min="8450" max="8450" width="56.42578125" style="26" customWidth="1"/>
    <col min="8451" max="8451" width="10.28515625" style="26" customWidth="1"/>
    <col min="8452" max="8458" width="10.7109375" style="26" customWidth="1"/>
    <col min="8459" max="8459" width="9.140625" style="26"/>
    <col min="8460" max="8460" width="11.28515625" style="26" bestFit="1" customWidth="1"/>
    <col min="8461" max="8461" width="9.7109375" style="26" bestFit="1" customWidth="1"/>
    <col min="8462" max="8704" width="9.140625" style="26"/>
    <col min="8705" max="8705" width="5.28515625" style="26" customWidth="1"/>
    <col min="8706" max="8706" width="56.42578125" style="26" customWidth="1"/>
    <col min="8707" max="8707" width="10.28515625" style="26" customWidth="1"/>
    <col min="8708" max="8714" width="10.7109375" style="26" customWidth="1"/>
    <col min="8715" max="8715" width="9.140625" style="26"/>
    <col min="8716" max="8716" width="11.28515625" style="26" bestFit="1" customWidth="1"/>
    <col min="8717" max="8717" width="9.7109375" style="26" bestFit="1" customWidth="1"/>
    <col min="8718" max="8960" width="9.140625" style="26"/>
    <col min="8961" max="8961" width="5.28515625" style="26" customWidth="1"/>
    <col min="8962" max="8962" width="56.42578125" style="26" customWidth="1"/>
    <col min="8963" max="8963" width="10.28515625" style="26" customWidth="1"/>
    <col min="8964" max="8970" width="10.7109375" style="26" customWidth="1"/>
    <col min="8971" max="8971" width="9.140625" style="26"/>
    <col min="8972" max="8972" width="11.28515625" style="26" bestFit="1" customWidth="1"/>
    <col min="8973" max="8973" width="9.7109375" style="26" bestFit="1" customWidth="1"/>
    <col min="8974" max="9216" width="9.140625" style="26"/>
    <col min="9217" max="9217" width="5.28515625" style="26" customWidth="1"/>
    <col min="9218" max="9218" width="56.42578125" style="26" customWidth="1"/>
    <col min="9219" max="9219" width="10.28515625" style="26" customWidth="1"/>
    <col min="9220" max="9226" width="10.7109375" style="26" customWidth="1"/>
    <col min="9227" max="9227" width="9.140625" style="26"/>
    <col min="9228" max="9228" width="11.28515625" style="26" bestFit="1" customWidth="1"/>
    <col min="9229" max="9229" width="9.7109375" style="26" bestFit="1" customWidth="1"/>
    <col min="9230" max="9472" width="9.140625" style="26"/>
    <col min="9473" max="9473" width="5.28515625" style="26" customWidth="1"/>
    <col min="9474" max="9474" width="56.42578125" style="26" customWidth="1"/>
    <col min="9475" max="9475" width="10.28515625" style="26" customWidth="1"/>
    <col min="9476" max="9482" width="10.7109375" style="26" customWidth="1"/>
    <col min="9483" max="9483" width="9.140625" style="26"/>
    <col min="9484" max="9484" width="11.28515625" style="26" bestFit="1" customWidth="1"/>
    <col min="9485" max="9485" width="9.7109375" style="26" bestFit="1" customWidth="1"/>
    <col min="9486" max="9728" width="9.140625" style="26"/>
    <col min="9729" max="9729" width="5.28515625" style="26" customWidth="1"/>
    <col min="9730" max="9730" width="56.42578125" style="26" customWidth="1"/>
    <col min="9731" max="9731" width="10.28515625" style="26" customWidth="1"/>
    <col min="9732" max="9738" width="10.7109375" style="26" customWidth="1"/>
    <col min="9739" max="9739" width="9.140625" style="26"/>
    <col min="9740" max="9740" width="11.28515625" style="26" bestFit="1" customWidth="1"/>
    <col min="9741" max="9741" width="9.7109375" style="26" bestFit="1" customWidth="1"/>
    <col min="9742" max="9984" width="9.140625" style="26"/>
    <col min="9985" max="9985" width="5.28515625" style="26" customWidth="1"/>
    <col min="9986" max="9986" width="56.42578125" style="26" customWidth="1"/>
    <col min="9987" max="9987" width="10.28515625" style="26" customWidth="1"/>
    <col min="9988" max="9994" width="10.7109375" style="26" customWidth="1"/>
    <col min="9995" max="9995" width="9.140625" style="26"/>
    <col min="9996" max="9996" width="11.28515625" style="26" bestFit="1" customWidth="1"/>
    <col min="9997" max="9997" width="9.7109375" style="26" bestFit="1" customWidth="1"/>
    <col min="9998" max="10240" width="9.140625" style="26"/>
    <col min="10241" max="10241" width="5.28515625" style="26" customWidth="1"/>
    <col min="10242" max="10242" width="56.42578125" style="26" customWidth="1"/>
    <col min="10243" max="10243" width="10.28515625" style="26" customWidth="1"/>
    <col min="10244" max="10250" width="10.7109375" style="26" customWidth="1"/>
    <col min="10251" max="10251" width="9.140625" style="26"/>
    <col min="10252" max="10252" width="11.28515625" style="26" bestFit="1" customWidth="1"/>
    <col min="10253" max="10253" width="9.7109375" style="26" bestFit="1" customWidth="1"/>
    <col min="10254" max="10496" width="9.140625" style="26"/>
    <col min="10497" max="10497" width="5.28515625" style="26" customWidth="1"/>
    <col min="10498" max="10498" width="56.42578125" style="26" customWidth="1"/>
    <col min="10499" max="10499" width="10.28515625" style="26" customWidth="1"/>
    <col min="10500" max="10506" width="10.7109375" style="26" customWidth="1"/>
    <col min="10507" max="10507" width="9.140625" style="26"/>
    <col min="10508" max="10508" width="11.28515625" style="26" bestFit="1" customWidth="1"/>
    <col min="10509" max="10509" width="9.7109375" style="26" bestFit="1" customWidth="1"/>
    <col min="10510" max="10752" width="9.140625" style="26"/>
    <col min="10753" max="10753" width="5.28515625" style="26" customWidth="1"/>
    <col min="10754" max="10754" width="56.42578125" style="26" customWidth="1"/>
    <col min="10755" max="10755" width="10.28515625" style="26" customWidth="1"/>
    <col min="10756" max="10762" width="10.7109375" style="26" customWidth="1"/>
    <col min="10763" max="10763" width="9.140625" style="26"/>
    <col min="10764" max="10764" width="11.28515625" style="26" bestFit="1" customWidth="1"/>
    <col min="10765" max="10765" width="9.7109375" style="26" bestFit="1" customWidth="1"/>
    <col min="10766" max="11008" width="9.140625" style="26"/>
    <col min="11009" max="11009" width="5.28515625" style="26" customWidth="1"/>
    <col min="11010" max="11010" width="56.42578125" style="26" customWidth="1"/>
    <col min="11011" max="11011" width="10.28515625" style="26" customWidth="1"/>
    <col min="11012" max="11018" width="10.7109375" style="26" customWidth="1"/>
    <col min="11019" max="11019" width="9.140625" style="26"/>
    <col min="11020" max="11020" width="11.28515625" style="26" bestFit="1" customWidth="1"/>
    <col min="11021" max="11021" width="9.7109375" style="26" bestFit="1" customWidth="1"/>
    <col min="11022" max="11264" width="9.140625" style="26"/>
    <col min="11265" max="11265" width="5.28515625" style="26" customWidth="1"/>
    <col min="11266" max="11266" width="56.42578125" style="26" customWidth="1"/>
    <col min="11267" max="11267" width="10.28515625" style="26" customWidth="1"/>
    <col min="11268" max="11274" width="10.7109375" style="26" customWidth="1"/>
    <col min="11275" max="11275" width="9.140625" style="26"/>
    <col min="11276" max="11276" width="11.28515625" style="26" bestFit="1" customWidth="1"/>
    <col min="11277" max="11277" width="9.7109375" style="26" bestFit="1" customWidth="1"/>
    <col min="11278" max="11520" width="9.140625" style="26"/>
    <col min="11521" max="11521" width="5.28515625" style="26" customWidth="1"/>
    <col min="11522" max="11522" width="56.42578125" style="26" customWidth="1"/>
    <col min="11523" max="11523" width="10.28515625" style="26" customWidth="1"/>
    <col min="11524" max="11530" width="10.7109375" style="26" customWidth="1"/>
    <col min="11531" max="11531" width="9.140625" style="26"/>
    <col min="11532" max="11532" width="11.28515625" style="26" bestFit="1" customWidth="1"/>
    <col min="11533" max="11533" width="9.7109375" style="26" bestFit="1" customWidth="1"/>
    <col min="11534" max="11776" width="9.140625" style="26"/>
    <col min="11777" max="11777" width="5.28515625" style="26" customWidth="1"/>
    <col min="11778" max="11778" width="56.42578125" style="26" customWidth="1"/>
    <col min="11779" max="11779" width="10.28515625" style="26" customWidth="1"/>
    <col min="11780" max="11786" width="10.7109375" style="26" customWidth="1"/>
    <col min="11787" max="11787" width="9.140625" style="26"/>
    <col min="11788" max="11788" width="11.28515625" style="26" bestFit="1" customWidth="1"/>
    <col min="11789" max="11789" width="9.7109375" style="26" bestFit="1" customWidth="1"/>
    <col min="11790" max="12032" width="9.140625" style="26"/>
    <col min="12033" max="12033" width="5.28515625" style="26" customWidth="1"/>
    <col min="12034" max="12034" width="56.42578125" style="26" customWidth="1"/>
    <col min="12035" max="12035" width="10.28515625" style="26" customWidth="1"/>
    <col min="12036" max="12042" width="10.7109375" style="26" customWidth="1"/>
    <col min="12043" max="12043" width="9.140625" style="26"/>
    <col min="12044" max="12044" width="11.28515625" style="26" bestFit="1" customWidth="1"/>
    <col min="12045" max="12045" width="9.7109375" style="26" bestFit="1" customWidth="1"/>
    <col min="12046" max="12288" width="9.140625" style="26"/>
    <col min="12289" max="12289" width="5.28515625" style="26" customWidth="1"/>
    <col min="12290" max="12290" width="56.42578125" style="26" customWidth="1"/>
    <col min="12291" max="12291" width="10.28515625" style="26" customWidth="1"/>
    <col min="12292" max="12298" width="10.7109375" style="26" customWidth="1"/>
    <col min="12299" max="12299" width="9.140625" style="26"/>
    <col min="12300" max="12300" width="11.28515625" style="26" bestFit="1" customWidth="1"/>
    <col min="12301" max="12301" width="9.7109375" style="26" bestFit="1" customWidth="1"/>
    <col min="12302" max="12544" width="9.140625" style="26"/>
    <col min="12545" max="12545" width="5.28515625" style="26" customWidth="1"/>
    <col min="12546" max="12546" width="56.42578125" style="26" customWidth="1"/>
    <col min="12547" max="12547" width="10.28515625" style="26" customWidth="1"/>
    <col min="12548" max="12554" width="10.7109375" style="26" customWidth="1"/>
    <col min="12555" max="12555" width="9.140625" style="26"/>
    <col min="12556" max="12556" width="11.28515625" style="26" bestFit="1" customWidth="1"/>
    <col min="12557" max="12557" width="9.7109375" style="26" bestFit="1" customWidth="1"/>
    <col min="12558" max="12800" width="9.140625" style="26"/>
    <col min="12801" max="12801" width="5.28515625" style="26" customWidth="1"/>
    <col min="12802" max="12802" width="56.42578125" style="26" customWidth="1"/>
    <col min="12803" max="12803" width="10.28515625" style="26" customWidth="1"/>
    <col min="12804" max="12810" width="10.7109375" style="26" customWidth="1"/>
    <col min="12811" max="12811" width="9.140625" style="26"/>
    <col min="12812" max="12812" width="11.28515625" style="26" bestFit="1" customWidth="1"/>
    <col min="12813" max="12813" width="9.7109375" style="26" bestFit="1" customWidth="1"/>
    <col min="12814" max="13056" width="9.140625" style="26"/>
    <col min="13057" max="13057" width="5.28515625" style="26" customWidth="1"/>
    <col min="13058" max="13058" width="56.42578125" style="26" customWidth="1"/>
    <col min="13059" max="13059" width="10.28515625" style="26" customWidth="1"/>
    <col min="13060" max="13066" width="10.7109375" style="26" customWidth="1"/>
    <col min="13067" max="13067" width="9.140625" style="26"/>
    <col min="13068" max="13068" width="11.28515625" style="26" bestFit="1" customWidth="1"/>
    <col min="13069" max="13069" width="9.7109375" style="26" bestFit="1" customWidth="1"/>
    <col min="13070" max="13312" width="9.140625" style="26"/>
    <col min="13313" max="13313" width="5.28515625" style="26" customWidth="1"/>
    <col min="13314" max="13314" width="56.42578125" style="26" customWidth="1"/>
    <col min="13315" max="13315" width="10.28515625" style="26" customWidth="1"/>
    <col min="13316" max="13322" width="10.7109375" style="26" customWidth="1"/>
    <col min="13323" max="13323" width="9.140625" style="26"/>
    <col min="13324" max="13324" width="11.28515625" style="26" bestFit="1" customWidth="1"/>
    <col min="13325" max="13325" width="9.7109375" style="26" bestFit="1" customWidth="1"/>
    <col min="13326" max="13568" width="9.140625" style="26"/>
    <col min="13569" max="13569" width="5.28515625" style="26" customWidth="1"/>
    <col min="13570" max="13570" width="56.42578125" style="26" customWidth="1"/>
    <col min="13571" max="13571" width="10.28515625" style="26" customWidth="1"/>
    <col min="13572" max="13578" width="10.7109375" style="26" customWidth="1"/>
    <col min="13579" max="13579" width="9.140625" style="26"/>
    <col min="13580" max="13580" width="11.28515625" style="26" bestFit="1" customWidth="1"/>
    <col min="13581" max="13581" width="9.7109375" style="26" bestFit="1" customWidth="1"/>
    <col min="13582" max="13824" width="9.140625" style="26"/>
    <col min="13825" max="13825" width="5.28515625" style="26" customWidth="1"/>
    <col min="13826" max="13826" width="56.42578125" style="26" customWidth="1"/>
    <col min="13827" max="13827" width="10.28515625" style="26" customWidth="1"/>
    <col min="13828" max="13834" width="10.7109375" style="26" customWidth="1"/>
    <col min="13835" max="13835" width="9.140625" style="26"/>
    <col min="13836" max="13836" width="11.28515625" style="26" bestFit="1" customWidth="1"/>
    <col min="13837" max="13837" width="9.7109375" style="26" bestFit="1" customWidth="1"/>
    <col min="13838" max="14080" width="9.140625" style="26"/>
    <col min="14081" max="14081" width="5.28515625" style="26" customWidth="1"/>
    <col min="14082" max="14082" width="56.42578125" style="26" customWidth="1"/>
    <col min="14083" max="14083" width="10.28515625" style="26" customWidth="1"/>
    <col min="14084" max="14090" width="10.7109375" style="26" customWidth="1"/>
    <col min="14091" max="14091" width="9.140625" style="26"/>
    <col min="14092" max="14092" width="11.28515625" style="26" bestFit="1" customWidth="1"/>
    <col min="14093" max="14093" width="9.7109375" style="26" bestFit="1" customWidth="1"/>
    <col min="14094" max="14336" width="9.140625" style="26"/>
    <col min="14337" max="14337" width="5.28515625" style="26" customWidth="1"/>
    <col min="14338" max="14338" width="56.42578125" style="26" customWidth="1"/>
    <col min="14339" max="14339" width="10.28515625" style="26" customWidth="1"/>
    <col min="14340" max="14346" width="10.7109375" style="26" customWidth="1"/>
    <col min="14347" max="14347" width="9.140625" style="26"/>
    <col min="14348" max="14348" width="11.28515625" style="26" bestFit="1" customWidth="1"/>
    <col min="14349" max="14349" width="9.7109375" style="26" bestFit="1" customWidth="1"/>
    <col min="14350" max="14592" width="9.140625" style="26"/>
    <col min="14593" max="14593" width="5.28515625" style="26" customWidth="1"/>
    <col min="14594" max="14594" width="56.42578125" style="26" customWidth="1"/>
    <col min="14595" max="14595" width="10.28515625" style="26" customWidth="1"/>
    <col min="14596" max="14602" width="10.7109375" style="26" customWidth="1"/>
    <col min="14603" max="14603" width="9.140625" style="26"/>
    <col min="14604" max="14604" width="11.28515625" style="26" bestFit="1" customWidth="1"/>
    <col min="14605" max="14605" width="9.7109375" style="26" bestFit="1" customWidth="1"/>
    <col min="14606" max="14848" width="9.140625" style="26"/>
    <col min="14849" max="14849" width="5.28515625" style="26" customWidth="1"/>
    <col min="14850" max="14850" width="56.42578125" style="26" customWidth="1"/>
    <col min="14851" max="14851" width="10.28515625" style="26" customWidth="1"/>
    <col min="14852" max="14858" width="10.7109375" style="26" customWidth="1"/>
    <col min="14859" max="14859" width="9.140625" style="26"/>
    <col min="14860" max="14860" width="11.28515625" style="26" bestFit="1" customWidth="1"/>
    <col min="14861" max="14861" width="9.7109375" style="26" bestFit="1" customWidth="1"/>
    <col min="14862" max="15104" width="9.140625" style="26"/>
    <col min="15105" max="15105" width="5.28515625" style="26" customWidth="1"/>
    <col min="15106" max="15106" width="56.42578125" style="26" customWidth="1"/>
    <col min="15107" max="15107" width="10.28515625" style="26" customWidth="1"/>
    <col min="15108" max="15114" width="10.7109375" style="26" customWidth="1"/>
    <col min="15115" max="15115" width="9.140625" style="26"/>
    <col min="15116" max="15116" width="11.28515625" style="26" bestFit="1" customWidth="1"/>
    <col min="15117" max="15117" width="9.7109375" style="26" bestFit="1" customWidth="1"/>
    <col min="15118" max="15360" width="9.140625" style="26"/>
    <col min="15361" max="15361" width="5.28515625" style="26" customWidth="1"/>
    <col min="15362" max="15362" width="56.42578125" style="26" customWidth="1"/>
    <col min="15363" max="15363" width="10.28515625" style="26" customWidth="1"/>
    <col min="15364" max="15370" width="10.7109375" style="26" customWidth="1"/>
    <col min="15371" max="15371" width="9.140625" style="26"/>
    <col min="15372" max="15372" width="11.28515625" style="26" bestFit="1" customWidth="1"/>
    <col min="15373" max="15373" width="9.7109375" style="26" bestFit="1" customWidth="1"/>
    <col min="15374" max="15616" width="9.140625" style="26"/>
    <col min="15617" max="15617" width="5.28515625" style="26" customWidth="1"/>
    <col min="15618" max="15618" width="56.42578125" style="26" customWidth="1"/>
    <col min="15619" max="15619" width="10.28515625" style="26" customWidth="1"/>
    <col min="15620" max="15626" width="10.7109375" style="26" customWidth="1"/>
    <col min="15627" max="15627" width="9.140625" style="26"/>
    <col min="15628" max="15628" width="11.28515625" style="26" bestFit="1" customWidth="1"/>
    <col min="15629" max="15629" width="9.7109375" style="26" bestFit="1" customWidth="1"/>
    <col min="15630" max="15872" width="9.140625" style="26"/>
    <col min="15873" max="15873" width="5.28515625" style="26" customWidth="1"/>
    <col min="15874" max="15874" width="56.42578125" style="26" customWidth="1"/>
    <col min="15875" max="15875" width="10.28515625" style="26" customWidth="1"/>
    <col min="15876" max="15882" width="10.7109375" style="26" customWidth="1"/>
    <col min="15883" max="15883" width="9.140625" style="26"/>
    <col min="15884" max="15884" width="11.28515625" style="26" bestFit="1" customWidth="1"/>
    <col min="15885" max="15885" width="9.7109375" style="26" bestFit="1" customWidth="1"/>
    <col min="15886" max="16128" width="9.140625" style="26"/>
    <col min="16129" max="16129" width="5.28515625" style="26" customWidth="1"/>
    <col min="16130" max="16130" width="56.42578125" style="26" customWidth="1"/>
    <col min="16131" max="16131" width="10.28515625" style="26" customWidth="1"/>
    <col min="16132" max="16138" width="10.7109375" style="26" customWidth="1"/>
    <col min="16139" max="16139" width="9.140625" style="26"/>
    <col min="16140" max="16140" width="11.28515625" style="26" bestFit="1" customWidth="1"/>
    <col min="16141" max="16141" width="9.7109375" style="26" bestFit="1" customWidth="1"/>
    <col min="16142" max="16384" width="9.140625" style="26"/>
  </cols>
  <sheetData>
    <row r="1" spans="1:13" ht="13.5" customHeight="1">
      <c r="B1" s="451"/>
      <c r="C1" s="451"/>
      <c r="D1" s="547"/>
      <c r="E1" s="547"/>
      <c r="F1" s="547"/>
      <c r="G1" s="547"/>
      <c r="H1" s="547"/>
      <c r="I1" s="547" t="s">
        <v>1509</v>
      </c>
      <c r="J1" s="547"/>
    </row>
    <row r="2" spans="1:13" s="25" customFormat="1" ht="27.75" customHeight="1">
      <c r="A2" s="3405" t="s">
        <v>1411</v>
      </c>
      <c r="B2" s="3405"/>
      <c r="C2" s="3405"/>
      <c r="D2" s="3405"/>
      <c r="E2" s="3405"/>
      <c r="F2" s="3405"/>
      <c r="G2" s="3405"/>
      <c r="H2" s="3405"/>
      <c r="I2" s="3405"/>
      <c r="J2" s="3405"/>
    </row>
    <row r="3" spans="1:13" ht="12.75" customHeight="1">
      <c r="A3" s="3405"/>
      <c r="B3" s="3405"/>
      <c r="C3" s="3405"/>
      <c r="D3" s="3405"/>
      <c r="E3" s="3405"/>
      <c r="F3" s="3405"/>
      <c r="G3" s="3405"/>
      <c r="H3" s="3405"/>
      <c r="I3" s="3405"/>
      <c r="J3" s="3405"/>
    </row>
    <row r="4" spans="1:13" ht="12.75" customHeight="1">
      <c r="A4" s="3405"/>
      <c r="B4" s="3405"/>
      <c r="C4" s="3405"/>
      <c r="D4" s="3405"/>
      <c r="E4" s="3405"/>
      <c r="F4" s="3405"/>
      <c r="G4" s="3405"/>
      <c r="H4" s="3405"/>
      <c r="I4" s="3405"/>
      <c r="J4" s="3405"/>
    </row>
    <row r="5" spans="1:13" s="452" customFormat="1" ht="18.75">
      <c r="A5" s="3406" t="str">
        <f>'1. Анкетна карта'!A3:J3</f>
        <v>на "Водоснабдяване и канализация" ООД , гр. Враца</v>
      </c>
      <c r="B5" s="3406"/>
      <c r="C5" s="3406"/>
      <c r="D5" s="3406"/>
      <c r="E5" s="3406"/>
      <c r="F5" s="3406"/>
      <c r="G5" s="3406"/>
      <c r="H5" s="3406"/>
      <c r="I5" s="3406"/>
      <c r="J5" s="3406"/>
    </row>
    <row r="6" spans="1:13" s="452" customFormat="1" ht="18.75">
      <c r="A6" s="3406" t="str">
        <f>'1. Анкетна карта'!A4:J4</f>
        <v>ЕИК по БУЛСТАТ: 816090199</v>
      </c>
      <c r="B6" s="3406"/>
      <c r="C6" s="3406"/>
      <c r="D6" s="3406"/>
      <c r="E6" s="3406"/>
      <c r="F6" s="3406"/>
      <c r="G6" s="3406"/>
      <c r="H6" s="3406"/>
      <c r="I6" s="3406"/>
      <c r="J6" s="3406"/>
    </row>
    <row r="7" spans="1:13" s="452" customFormat="1" ht="19.5" thickBot="1">
      <c r="A7" s="453"/>
      <c r="B7" s="453"/>
      <c r="C7" s="453"/>
      <c r="D7" s="453"/>
      <c r="E7" s="453"/>
      <c r="F7" s="453"/>
      <c r="G7" s="453"/>
      <c r="H7" s="453"/>
      <c r="I7" s="453"/>
      <c r="J7" s="453"/>
    </row>
    <row r="8" spans="1:13" s="28" customFormat="1" ht="12">
      <c r="A8" s="3387" t="s">
        <v>1</v>
      </c>
      <c r="B8" s="3408" t="s">
        <v>95</v>
      </c>
      <c r="C8" s="3410" t="s">
        <v>222</v>
      </c>
      <c r="D8" s="3412" t="str">
        <f>'Приложение '!$G12</f>
        <v>2015 г.</v>
      </c>
      <c r="E8" s="3412" t="str">
        <f>'Приложение '!$G13</f>
        <v>2016 г.</v>
      </c>
      <c r="F8" s="3412" t="str">
        <f>'Приложение '!$G14</f>
        <v>2017 г.</v>
      </c>
      <c r="G8" s="3412" t="str">
        <f>'Приложение '!$G15</f>
        <v>2018 г.</v>
      </c>
      <c r="H8" s="3412" t="str">
        <f>'Приложение '!$G16</f>
        <v>2019 г.</v>
      </c>
      <c r="I8" s="3412" t="str">
        <f>'Приложение '!$G17</f>
        <v>2020 г.</v>
      </c>
      <c r="J8" s="3412" t="str">
        <f>'Приложение '!$G18</f>
        <v>2021 г.</v>
      </c>
      <c r="K8" s="27"/>
      <c r="L8" s="27"/>
      <c r="M8" s="27"/>
    </row>
    <row r="9" spans="1:13" s="28" customFormat="1" thickBot="1">
      <c r="A9" s="3407"/>
      <c r="B9" s="3409"/>
      <c r="C9" s="3411"/>
      <c r="D9" s="3413"/>
      <c r="E9" s="3413"/>
      <c r="F9" s="3413"/>
      <c r="G9" s="3413"/>
      <c r="H9" s="3413"/>
      <c r="I9" s="3413"/>
      <c r="J9" s="3413"/>
    </row>
    <row r="10" spans="1:13" s="28" customFormat="1" ht="15" customHeight="1">
      <c r="A10" s="454" t="s">
        <v>193</v>
      </c>
      <c r="B10" s="455" t="s">
        <v>1384</v>
      </c>
      <c r="C10" s="456" t="s">
        <v>831</v>
      </c>
      <c r="D10" s="2601">
        <f>SUM(D11:D13)</f>
        <v>122</v>
      </c>
      <c r="E10" s="2601">
        <f t="shared" ref="E10:J10" si="0">SUM(E11:E13)</f>
        <v>357</v>
      </c>
      <c r="F10" s="2601">
        <f t="shared" si="0"/>
        <v>634</v>
      </c>
      <c r="G10" s="2601">
        <f t="shared" si="0"/>
        <v>634</v>
      </c>
      <c r="H10" s="2601">
        <f t="shared" si="0"/>
        <v>634</v>
      </c>
      <c r="I10" s="2601">
        <f t="shared" si="0"/>
        <v>634</v>
      </c>
      <c r="J10" s="2601">
        <f t="shared" si="0"/>
        <v>634</v>
      </c>
      <c r="L10" s="457"/>
    </row>
    <row r="11" spans="1:13" s="461" customFormat="1" ht="12">
      <c r="A11" s="458" t="s">
        <v>98</v>
      </c>
      <c r="B11" s="459" t="s">
        <v>1385</v>
      </c>
      <c r="C11" s="460" t="s">
        <v>805</v>
      </c>
      <c r="D11" s="2014">
        <v>0</v>
      </c>
      <c r="E11" s="2602">
        <f>IF(D26&lt;0,"error",D26)</f>
        <v>0</v>
      </c>
      <c r="F11" s="2603">
        <f t="shared" ref="F11:J12" si="1">IF(E26&lt;0,"error",E26)</f>
        <v>0</v>
      </c>
      <c r="G11" s="2602">
        <f t="shared" si="1"/>
        <v>0</v>
      </c>
      <c r="H11" s="2602">
        <f t="shared" si="1"/>
        <v>0</v>
      </c>
      <c r="I11" s="2603">
        <f t="shared" si="1"/>
        <v>0</v>
      </c>
      <c r="J11" s="2602">
        <f t="shared" si="1"/>
        <v>0</v>
      </c>
    </row>
    <row r="12" spans="1:13" s="461" customFormat="1" ht="12">
      <c r="A12" s="458" t="s">
        <v>99</v>
      </c>
      <c r="B12" s="459" t="s">
        <v>1389</v>
      </c>
      <c r="C12" s="460" t="s">
        <v>805</v>
      </c>
      <c r="D12" s="3070"/>
      <c r="E12" s="2602">
        <f>IF(D27&lt;0,"error",D27)</f>
        <v>35</v>
      </c>
      <c r="F12" s="2603">
        <f t="shared" si="1"/>
        <v>0</v>
      </c>
      <c r="G12" s="2602">
        <f t="shared" si="1"/>
        <v>0</v>
      </c>
      <c r="H12" s="2602">
        <f t="shared" si="1"/>
        <v>0</v>
      </c>
      <c r="I12" s="2603">
        <f t="shared" si="1"/>
        <v>0</v>
      </c>
      <c r="J12" s="2602">
        <f t="shared" si="1"/>
        <v>0</v>
      </c>
    </row>
    <row r="13" spans="1:13" s="461" customFormat="1" ht="12">
      <c r="A13" s="458" t="s">
        <v>101</v>
      </c>
      <c r="B13" s="462" t="s">
        <v>806</v>
      </c>
      <c r="C13" s="460" t="s">
        <v>805</v>
      </c>
      <c r="D13" s="548">
        <v>122</v>
      </c>
      <c r="E13" s="549">
        <v>322</v>
      </c>
      <c r="F13" s="549">
        <v>634</v>
      </c>
      <c r="G13" s="549">
        <v>634</v>
      </c>
      <c r="H13" s="549">
        <v>634</v>
      </c>
      <c r="I13" s="549">
        <v>634</v>
      </c>
      <c r="J13" s="549">
        <v>634</v>
      </c>
    </row>
    <row r="14" spans="1:13" s="461" customFormat="1" ht="12">
      <c r="A14" s="458" t="s">
        <v>197</v>
      </c>
      <c r="B14" s="462" t="s">
        <v>1476</v>
      </c>
      <c r="C14" s="460" t="s">
        <v>226</v>
      </c>
      <c r="D14" s="2012">
        <v>0.75</v>
      </c>
      <c r="E14" s="2013">
        <v>0.75</v>
      </c>
      <c r="F14" s="2013">
        <v>0.75</v>
      </c>
      <c r="G14" s="2013">
        <v>0.75</v>
      </c>
      <c r="H14" s="2013">
        <v>0.75</v>
      </c>
      <c r="I14" s="2013">
        <v>0.75</v>
      </c>
      <c r="J14" s="2013">
        <v>0.75</v>
      </c>
    </row>
    <row r="15" spans="1:13" s="28" customFormat="1" ht="36">
      <c r="A15" s="454" t="s">
        <v>103</v>
      </c>
      <c r="B15" s="463" t="s">
        <v>845</v>
      </c>
      <c r="C15" s="456" t="s">
        <v>805</v>
      </c>
      <c r="D15" s="2601">
        <f>SUM(D16:D18)</f>
        <v>0</v>
      </c>
      <c r="E15" s="2601">
        <f t="shared" ref="E15:J15" si="2">SUM(E16:E18)</f>
        <v>357</v>
      </c>
      <c r="F15" s="2601">
        <f t="shared" si="2"/>
        <v>634</v>
      </c>
      <c r="G15" s="2601">
        <f t="shared" si="2"/>
        <v>634</v>
      </c>
      <c r="H15" s="2601">
        <f t="shared" si="2"/>
        <v>634</v>
      </c>
      <c r="I15" s="2601">
        <f t="shared" si="2"/>
        <v>634</v>
      </c>
      <c r="J15" s="2601">
        <f t="shared" si="2"/>
        <v>634</v>
      </c>
      <c r="L15" s="457"/>
    </row>
    <row r="16" spans="1:13" s="461" customFormat="1" ht="15" customHeight="1">
      <c r="A16" s="458" t="s">
        <v>105</v>
      </c>
      <c r="B16" s="462" t="s">
        <v>1386</v>
      </c>
      <c r="C16" s="464" t="s">
        <v>805</v>
      </c>
      <c r="D16" s="548">
        <v>0</v>
      </c>
      <c r="E16" s="548">
        <v>0</v>
      </c>
      <c r="F16" s="548">
        <v>0</v>
      </c>
      <c r="G16" s="548">
        <v>0</v>
      </c>
      <c r="H16" s="548">
        <v>0</v>
      </c>
      <c r="I16" s="548">
        <v>0</v>
      </c>
      <c r="J16" s="548">
        <v>0</v>
      </c>
      <c r="L16" s="465"/>
    </row>
    <row r="17" spans="1:12" s="461" customFormat="1" ht="15" customHeight="1">
      <c r="A17" s="458" t="s">
        <v>107</v>
      </c>
      <c r="B17" s="462" t="s">
        <v>832</v>
      </c>
      <c r="C17" s="464" t="s">
        <v>805</v>
      </c>
      <c r="D17" s="3070"/>
      <c r="E17" s="549">
        <v>35</v>
      </c>
      <c r="F17" s="550">
        <v>0</v>
      </c>
      <c r="G17" s="549">
        <v>0</v>
      </c>
      <c r="H17" s="549">
        <v>0</v>
      </c>
      <c r="I17" s="550">
        <v>0</v>
      </c>
      <c r="J17" s="549"/>
      <c r="L17" s="465"/>
    </row>
    <row r="18" spans="1:12" s="461" customFormat="1" ht="15" customHeight="1">
      <c r="A18" s="458" t="s">
        <v>225</v>
      </c>
      <c r="B18" s="462" t="s">
        <v>833</v>
      </c>
      <c r="C18" s="464" t="s">
        <v>805</v>
      </c>
      <c r="D18" s="548">
        <v>0</v>
      </c>
      <c r="E18" s="549">
        <v>322</v>
      </c>
      <c r="F18" s="550">
        <v>634</v>
      </c>
      <c r="G18" s="549">
        <v>634</v>
      </c>
      <c r="H18" s="549">
        <v>634</v>
      </c>
      <c r="I18" s="550">
        <v>634</v>
      </c>
      <c r="J18" s="549">
        <v>634</v>
      </c>
      <c r="L18" s="465"/>
    </row>
    <row r="19" spans="1:12" s="461" customFormat="1" ht="15" customHeight="1">
      <c r="A19" s="458" t="s">
        <v>306</v>
      </c>
      <c r="B19" s="462" t="s">
        <v>1477</v>
      </c>
      <c r="C19" s="460" t="s">
        <v>226</v>
      </c>
      <c r="D19" s="2012">
        <v>0</v>
      </c>
      <c r="E19" s="2013">
        <v>0.75</v>
      </c>
      <c r="F19" s="2013">
        <v>0.75</v>
      </c>
      <c r="G19" s="2013">
        <v>0.75</v>
      </c>
      <c r="H19" s="2013">
        <v>0.75</v>
      </c>
      <c r="I19" s="2013">
        <v>0.75</v>
      </c>
      <c r="J19" s="2013">
        <v>0.75</v>
      </c>
      <c r="L19" s="465"/>
    </row>
    <row r="20" spans="1:12" s="28" customFormat="1" ht="15" customHeight="1">
      <c r="A20" s="454" t="s">
        <v>110</v>
      </c>
      <c r="B20" s="455" t="s">
        <v>807</v>
      </c>
      <c r="C20" s="456" t="s">
        <v>805</v>
      </c>
      <c r="D20" s="2601">
        <f>SUM(D21:D23)</f>
        <v>87</v>
      </c>
      <c r="E20" s="2601">
        <f t="shared" ref="E20:J20" si="3">SUM(E21:E23)</f>
        <v>0</v>
      </c>
      <c r="F20" s="2601">
        <f t="shared" si="3"/>
        <v>0</v>
      </c>
      <c r="G20" s="2601">
        <f t="shared" si="3"/>
        <v>0</v>
      </c>
      <c r="H20" s="2601">
        <f t="shared" si="3"/>
        <v>0</v>
      </c>
      <c r="I20" s="2601">
        <f t="shared" si="3"/>
        <v>0</v>
      </c>
      <c r="J20" s="2601">
        <f t="shared" si="3"/>
        <v>0</v>
      </c>
      <c r="L20" s="457"/>
    </row>
    <row r="21" spans="1:12" s="28" customFormat="1" ht="12">
      <c r="A21" s="466" t="s">
        <v>227</v>
      </c>
      <c r="B21" s="467" t="s">
        <v>1387</v>
      </c>
      <c r="C21" s="464" t="s">
        <v>805</v>
      </c>
      <c r="D21" s="548">
        <v>0</v>
      </c>
      <c r="E21" s="548">
        <v>0</v>
      </c>
      <c r="F21" s="548">
        <v>0</v>
      </c>
      <c r="G21" s="548">
        <v>0</v>
      </c>
      <c r="H21" s="548">
        <v>0</v>
      </c>
      <c r="I21" s="548">
        <v>0</v>
      </c>
      <c r="J21" s="548">
        <v>0</v>
      </c>
      <c r="L21" s="457"/>
    </row>
    <row r="22" spans="1:12" s="28" customFormat="1" ht="12">
      <c r="A22" s="466" t="s">
        <v>228</v>
      </c>
      <c r="B22" s="467" t="s">
        <v>834</v>
      </c>
      <c r="C22" s="464" t="s">
        <v>805</v>
      </c>
      <c r="D22" s="3070"/>
      <c r="E22" s="549">
        <v>0</v>
      </c>
      <c r="F22" s="549">
        <v>0</v>
      </c>
      <c r="G22" s="549">
        <v>0</v>
      </c>
      <c r="H22" s="549">
        <v>0</v>
      </c>
      <c r="I22" s="549">
        <v>0</v>
      </c>
      <c r="J22" s="549">
        <v>0</v>
      </c>
      <c r="L22" s="457"/>
    </row>
    <row r="23" spans="1:12" s="28" customFormat="1" ht="12">
      <c r="A23" s="466" t="s">
        <v>835</v>
      </c>
      <c r="B23" s="467" t="s">
        <v>836</v>
      </c>
      <c r="C23" s="464" t="s">
        <v>805</v>
      </c>
      <c r="D23" s="548">
        <v>87</v>
      </c>
      <c r="E23" s="549">
        <v>0</v>
      </c>
      <c r="F23" s="549">
        <v>0</v>
      </c>
      <c r="G23" s="549">
        <v>0</v>
      </c>
      <c r="H23" s="549">
        <v>0</v>
      </c>
      <c r="I23" s="549">
        <v>0</v>
      </c>
      <c r="J23" s="549">
        <v>0</v>
      </c>
      <c r="L23" s="457"/>
    </row>
    <row r="24" spans="1:12" s="28" customFormat="1" ht="12">
      <c r="A24" s="458" t="s">
        <v>1395</v>
      </c>
      <c r="B24" s="462" t="s">
        <v>1478</v>
      </c>
      <c r="C24" s="460" t="s">
        <v>226</v>
      </c>
      <c r="D24" s="2012">
        <v>0.75</v>
      </c>
      <c r="E24" s="2013">
        <v>0</v>
      </c>
      <c r="F24" s="2013">
        <v>0</v>
      </c>
      <c r="G24" s="2013">
        <v>0</v>
      </c>
      <c r="H24" s="2013">
        <v>0</v>
      </c>
      <c r="I24" s="2013">
        <v>0</v>
      </c>
      <c r="J24" s="2013">
        <v>0</v>
      </c>
      <c r="L24" s="457"/>
    </row>
    <row r="25" spans="1:12" s="28" customFormat="1" ht="15" customHeight="1">
      <c r="A25" s="454" t="s">
        <v>111</v>
      </c>
      <c r="B25" s="455" t="s">
        <v>808</v>
      </c>
      <c r="C25" s="456" t="s">
        <v>805</v>
      </c>
      <c r="D25" s="2601">
        <f t="shared" ref="D25:J25" si="4">IF(D10-D15-D20&gt;=0,D10-D15-D20,0)</f>
        <v>35</v>
      </c>
      <c r="E25" s="2601">
        <f t="shared" si="4"/>
        <v>0</v>
      </c>
      <c r="F25" s="2601">
        <f t="shared" si="4"/>
        <v>0</v>
      </c>
      <c r="G25" s="2601">
        <f t="shared" si="4"/>
        <v>0</v>
      </c>
      <c r="H25" s="2601">
        <f t="shared" si="4"/>
        <v>0</v>
      </c>
      <c r="I25" s="2601">
        <f t="shared" si="4"/>
        <v>0</v>
      </c>
      <c r="J25" s="2601">
        <f t="shared" si="4"/>
        <v>0</v>
      </c>
      <c r="L25" s="457"/>
    </row>
    <row r="26" spans="1:12" s="28" customFormat="1" ht="15" customHeight="1">
      <c r="A26" s="466" t="s">
        <v>113</v>
      </c>
      <c r="B26" s="467" t="s">
        <v>1388</v>
      </c>
      <c r="C26" s="464" t="s">
        <v>805</v>
      </c>
      <c r="D26" s="2604">
        <f>D11-D16-D21</f>
        <v>0</v>
      </c>
      <c r="E26" s="2602">
        <f>E11-E16-E21</f>
        <v>0</v>
      </c>
      <c r="F26" s="2603">
        <f t="shared" ref="F26:J26" si="5">F11-F16-F21</f>
        <v>0</v>
      </c>
      <c r="G26" s="2602">
        <f t="shared" si="5"/>
        <v>0</v>
      </c>
      <c r="H26" s="2602">
        <f t="shared" si="5"/>
        <v>0</v>
      </c>
      <c r="I26" s="2603">
        <f t="shared" si="5"/>
        <v>0</v>
      </c>
      <c r="J26" s="2602">
        <f t="shared" si="5"/>
        <v>0</v>
      </c>
      <c r="L26" s="457"/>
    </row>
    <row r="27" spans="1:12" s="28" customFormat="1" ht="15" customHeight="1">
      <c r="A27" s="466" t="s">
        <v>115</v>
      </c>
      <c r="B27" s="467" t="s">
        <v>1390</v>
      </c>
      <c r="C27" s="464" t="s">
        <v>805</v>
      </c>
      <c r="D27" s="2602">
        <f>D12+D13-D17-D22-D18-D23</f>
        <v>35</v>
      </c>
      <c r="E27" s="2602">
        <f t="shared" ref="E27:J27" si="6">E12+E13-E17-E22-E18-E23</f>
        <v>0</v>
      </c>
      <c r="F27" s="2602">
        <f t="shared" si="6"/>
        <v>0</v>
      </c>
      <c r="G27" s="2602">
        <f t="shared" si="6"/>
        <v>0</v>
      </c>
      <c r="H27" s="2602">
        <f t="shared" si="6"/>
        <v>0</v>
      </c>
      <c r="I27" s="2602">
        <f t="shared" si="6"/>
        <v>0</v>
      </c>
      <c r="J27" s="2602">
        <f t="shared" si="6"/>
        <v>0</v>
      </c>
      <c r="L27" s="457"/>
    </row>
    <row r="28" spans="1:12" s="28" customFormat="1" ht="15" customHeight="1">
      <c r="A28" s="454" t="s">
        <v>117</v>
      </c>
      <c r="B28" s="455" t="s">
        <v>837</v>
      </c>
      <c r="C28" s="456" t="s">
        <v>361</v>
      </c>
      <c r="D28" s="2605">
        <f>SUM(D29:D32)</f>
        <v>0</v>
      </c>
      <c r="E28" s="2605">
        <f t="shared" ref="E28:J28" si="7">SUM(E29:E32)</f>
        <v>0</v>
      </c>
      <c r="F28" s="2605">
        <f t="shared" si="7"/>
        <v>0</v>
      </c>
      <c r="G28" s="2605">
        <f t="shared" si="7"/>
        <v>0</v>
      </c>
      <c r="H28" s="2605">
        <f t="shared" si="7"/>
        <v>0</v>
      </c>
      <c r="I28" s="2605">
        <f t="shared" si="7"/>
        <v>0</v>
      </c>
      <c r="J28" s="2605">
        <f t="shared" si="7"/>
        <v>0</v>
      </c>
      <c r="L28" s="457"/>
    </row>
    <row r="29" spans="1:12" s="28" customFormat="1" ht="15" customHeight="1">
      <c r="A29" s="466" t="s">
        <v>119</v>
      </c>
      <c r="B29" s="467" t="s">
        <v>989</v>
      </c>
      <c r="C29" s="464" t="s">
        <v>361</v>
      </c>
      <c r="D29" s="548">
        <v>0</v>
      </c>
      <c r="E29" s="548">
        <v>0</v>
      </c>
      <c r="F29" s="548">
        <v>0</v>
      </c>
      <c r="G29" s="548">
        <v>0</v>
      </c>
      <c r="H29" s="548">
        <v>0</v>
      </c>
      <c r="I29" s="548">
        <v>0</v>
      </c>
      <c r="J29" s="548">
        <v>0</v>
      </c>
      <c r="L29" s="457"/>
    </row>
    <row r="30" spans="1:12" s="28" customFormat="1" ht="15" customHeight="1">
      <c r="A30" s="466" t="s">
        <v>124</v>
      </c>
      <c r="B30" s="467" t="s">
        <v>990</v>
      </c>
      <c r="C30" s="464" t="s">
        <v>361</v>
      </c>
      <c r="D30" s="548">
        <v>0</v>
      </c>
      <c r="E30" s="548">
        <v>0</v>
      </c>
      <c r="F30" s="548">
        <v>0</v>
      </c>
      <c r="G30" s="548">
        <v>0</v>
      </c>
      <c r="H30" s="548">
        <v>0</v>
      </c>
      <c r="I30" s="548">
        <v>0</v>
      </c>
      <c r="J30" s="548">
        <v>0</v>
      </c>
      <c r="L30" s="457"/>
    </row>
    <row r="31" spans="1:12" s="28" customFormat="1" ht="15" customHeight="1">
      <c r="A31" s="466" t="s">
        <v>91</v>
      </c>
      <c r="B31" s="467" t="s">
        <v>839</v>
      </c>
      <c r="C31" s="464" t="s">
        <v>361</v>
      </c>
      <c r="D31" s="548">
        <v>0</v>
      </c>
      <c r="E31" s="548">
        <v>0</v>
      </c>
      <c r="F31" s="548">
        <v>0</v>
      </c>
      <c r="G31" s="548">
        <v>0</v>
      </c>
      <c r="H31" s="548">
        <v>0</v>
      </c>
      <c r="I31" s="548">
        <v>0</v>
      </c>
      <c r="J31" s="548">
        <v>0</v>
      </c>
      <c r="L31" s="457"/>
    </row>
    <row r="32" spans="1:12" s="28" customFormat="1" ht="15" customHeight="1">
      <c r="A32" s="466" t="s">
        <v>92</v>
      </c>
      <c r="B32" s="467" t="s">
        <v>840</v>
      </c>
      <c r="C32" s="464" t="s">
        <v>361</v>
      </c>
      <c r="D32" s="548">
        <v>0</v>
      </c>
      <c r="E32" s="548">
        <v>0</v>
      </c>
      <c r="F32" s="548">
        <v>0</v>
      </c>
      <c r="G32" s="548">
        <v>0</v>
      </c>
      <c r="H32" s="548">
        <v>0</v>
      </c>
      <c r="I32" s="548">
        <v>0</v>
      </c>
      <c r="J32" s="548">
        <v>0</v>
      </c>
      <c r="L32" s="457"/>
    </row>
    <row r="33" spans="1:14" s="28" customFormat="1" ht="15" customHeight="1">
      <c r="A33" s="454" t="s">
        <v>809</v>
      </c>
      <c r="B33" s="455" t="s">
        <v>838</v>
      </c>
      <c r="C33" s="456" t="s">
        <v>810</v>
      </c>
      <c r="D33" s="2606">
        <f t="shared" ref="D33:J33" si="8">IFERROR(D28*1000/(D15+D20),0)</f>
        <v>0</v>
      </c>
      <c r="E33" s="2606">
        <f t="shared" si="8"/>
        <v>0</v>
      </c>
      <c r="F33" s="2606">
        <f t="shared" si="8"/>
        <v>0</v>
      </c>
      <c r="G33" s="2606">
        <f t="shared" si="8"/>
        <v>0</v>
      </c>
      <c r="H33" s="2606">
        <f t="shared" si="8"/>
        <v>0</v>
      </c>
      <c r="I33" s="2606">
        <f t="shared" si="8"/>
        <v>0</v>
      </c>
      <c r="J33" s="2606">
        <f t="shared" si="8"/>
        <v>0</v>
      </c>
      <c r="L33" s="457"/>
    </row>
    <row r="34" spans="1:14" s="469" customFormat="1" ht="8.25" customHeight="1">
      <c r="A34" s="543"/>
      <c r="B34" s="544"/>
      <c r="C34" s="545"/>
      <c r="D34" s="2607"/>
      <c r="E34" s="2607"/>
      <c r="F34" s="2607"/>
      <c r="G34" s="2607"/>
      <c r="H34" s="2607"/>
      <c r="I34" s="2607"/>
      <c r="J34" s="2607"/>
      <c r="L34" s="546"/>
    </row>
    <row r="35" spans="1:14" s="469" customFormat="1" ht="15" customHeight="1">
      <c r="A35" s="3414" t="s">
        <v>913</v>
      </c>
      <c r="B35" s="3415"/>
      <c r="C35" s="3416"/>
      <c r="D35" s="2608">
        <f>(D30+D32)-('12. Разходи'!Q47+'12. Разходи'!Q48)</f>
        <v>0</v>
      </c>
      <c r="E35" s="2608">
        <f>(E30+E32)-('12. Разходи'!R47+'12. Разходи'!R48)</f>
        <v>0</v>
      </c>
      <c r="F35" s="2608">
        <f>(F30+F32)-('12. Разходи'!S47+'12. Разходи'!S48)</f>
        <v>0</v>
      </c>
      <c r="G35" s="2608">
        <f>(G30+G32)-('12. Разходи'!T47+'12. Разходи'!T48)</f>
        <v>0</v>
      </c>
      <c r="H35" s="2608">
        <f>(H30+H32)-('12. Разходи'!U47+'12. Разходи'!U48)</f>
        <v>0</v>
      </c>
      <c r="I35" s="2608">
        <f>(I30+I32)-('12. Разходи'!V47+'12. Разходи'!V48)</f>
        <v>0</v>
      </c>
      <c r="J35" s="2608">
        <f>(J30+J32)-('12. Разходи'!W47+'12. Разходи'!W48)</f>
        <v>0</v>
      </c>
      <c r="L35" s="546"/>
    </row>
    <row r="36" spans="1:14" s="469" customFormat="1" ht="15" customHeight="1">
      <c r="A36" s="543"/>
      <c r="B36" s="544"/>
      <c r="C36" s="545"/>
      <c r="D36" s="551"/>
      <c r="E36" s="551"/>
      <c r="F36" s="551"/>
      <c r="G36" s="551"/>
      <c r="H36" s="551"/>
      <c r="I36" s="551"/>
      <c r="J36" s="551"/>
      <c r="L36" s="546"/>
    </row>
    <row r="37" spans="1:14" s="28" customFormat="1" ht="29.25" customHeight="1">
      <c r="B37" s="468" t="str">
        <f>'6. Ел.Енергия'!B71</f>
        <v>Дата: 27.06.2016г.</v>
      </c>
      <c r="C37" s="469"/>
      <c r="D37" s="552"/>
      <c r="E37" s="552"/>
      <c r="F37" s="552"/>
      <c r="G37" s="552"/>
      <c r="H37" s="553"/>
      <c r="I37" s="553"/>
      <c r="J37" s="553"/>
      <c r="L37" s="470"/>
      <c r="M37" s="470"/>
    </row>
    <row r="38" spans="1:14" s="28" customFormat="1" ht="14.25" customHeight="1">
      <c r="B38" s="471"/>
      <c r="C38" s="471"/>
      <c r="D38" s="555" t="str">
        <f>'6. Ел.Енергия'!E72</f>
        <v>Главен счетоводител:</v>
      </c>
      <c r="F38" s="554" t="s">
        <v>4</v>
      </c>
      <c r="G38" s="552"/>
      <c r="H38" s="553"/>
      <c r="I38" s="556"/>
      <c r="J38" s="557"/>
      <c r="K38" s="472"/>
      <c r="L38" s="473"/>
      <c r="M38" s="473"/>
      <c r="N38" s="472"/>
    </row>
    <row r="39" spans="1:14" s="28" customFormat="1" ht="12">
      <c r="B39" s="469"/>
      <c r="C39" s="469"/>
      <c r="D39" s="552"/>
      <c r="E39" s="558"/>
      <c r="F39" s="554"/>
      <c r="G39" s="474" t="s">
        <v>246</v>
      </c>
      <c r="H39" s="553"/>
      <c r="I39" s="553"/>
      <c r="J39" s="557"/>
      <c r="K39" s="472"/>
      <c r="L39" s="473"/>
      <c r="M39" s="473"/>
      <c r="N39" s="472"/>
    </row>
    <row r="40" spans="1:14" s="28" customFormat="1" ht="12">
      <c r="B40" s="469"/>
      <c r="C40" s="469"/>
      <c r="D40" s="552"/>
      <c r="E40" s="558"/>
      <c r="F40" s="554"/>
      <c r="G40" s="474"/>
      <c r="H40" s="553"/>
      <c r="I40" s="553"/>
      <c r="J40" s="557"/>
      <c r="K40" s="472"/>
      <c r="L40" s="473"/>
      <c r="M40" s="473"/>
      <c r="N40" s="472"/>
    </row>
    <row r="41" spans="1:14" s="28" customFormat="1" ht="12">
      <c r="B41" s="469"/>
      <c r="C41" s="469"/>
      <c r="D41" s="552"/>
      <c r="E41" s="558"/>
      <c r="F41" s="554"/>
      <c r="G41" s="474"/>
      <c r="H41" s="553"/>
      <c r="I41" s="553"/>
      <c r="J41" s="557"/>
      <c r="K41" s="472"/>
      <c r="L41" s="473"/>
      <c r="M41" s="473"/>
      <c r="N41" s="472"/>
    </row>
    <row r="42" spans="1:14" s="28" customFormat="1" ht="12">
      <c r="B42" s="469"/>
      <c r="C42" s="469"/>
      <c r="D42" s="552"/>
      <c r="E42" s="555" t="str">
        <f>'6. Ел.Енергия'!E76</f>
        <v>Управител:</v>
      </c>
      <c r="F42" s="554" t="s">
        <v>4</v>
      </c>
      <c r="G42" s="552"/>
      <c r="H42" s="553"/>
      <c r="I42" s="553"/>
      <c r="J42" s="559"/>
      <c r="K42" s="475"/>
      <c r="L42" s="473"/>
      <c r="M42" s="473"/>
      <c r="N42" s="475"/>
    </row>
    <row r="43" spans="1:14" s="28" customFormat="1" ht="12">
      <c r="B43" s="469"/>
      <c r="C43" s="469"/>
      <c r="D43" s="552"/>
      <c r="E43" s="560"/>
      <c r="F43" s="553"/>
      <c r="G43" s="474" t="s">
        <v>6</v>
      </c>
      <c r="H43" s="553"/>
      <c r="I43" s="553"/>
      <c r="J43" s="561"/>
      <c r="K43" s="476"/>
      <c r="L43" s="473"/>
      <c r="M43" s="473"/>
      <c r="N43" s="476"/>
    </row>
    <row r="44" spans="1:14" s="28" customFormat="1" ht="12">
      <c r="B44" s="469"/>
      <c r="C44" s="469"/>
      <c r="D44" s="552"/>
      <c r="E44" s="560"/>
      <c r="F44" s="553"/>
      <c r="G44" s="474"/>
      <c r="H44" s="553"/>
      <c r="I44" s="553"/>
      <c r="J44" s="561"/>
      <c r="K44" s="476"/>
      <c r="L44" s="473"/>
      <c r="M44" s="473"/>
      <c r="N44" s="476"/>
    </row>
    <row r="45" spans="1:14" s="28" customFormat="1" ht="12">
      <c r="A45" s="3418" t="s">
        <v>247</v>
      </c>
      <c r="B45" s="3418"/>
      <c r="C45" s="3418"/>
      <c r="D45" s="3418"/>
      <c r="E45" s="562"/>
      <c r="F45" s="562"/>
      <c r="G45" s="562"/>
      <c r="H45" s="553"/>
      <c r="I45" s="553"/>
      <c r="J45" s="553"/>
    </row>
    <row r="46" spans="1:14" s="477" customFormat="1" ht="12">
      <c r="A46" s="3419" t="s">
        <v>248</v>
      </c>
      <c r="B46" s="3419"/>
      <c r="C46" s="3419"/>
      <c r="D46" s="3419"/>
      <c r="E46" s="562"/>
      <c r="F46" s="562"/>
      <c r="G46" s="562"/>
      <c r="H46" s="563"/>
      <c r="I46" s="563"/>
      <c r="J46" s="27"/>
      <c r="K46" s="478"/>
    </row>
    <row r="47" spans="1:14" s="477" customFormat="1" ht="12">
      <c r="A47" s="3417" t="s">
        <v>1552</v>
      </c>
      <c r="B47" s="3417"/>
      <c r="C47" s="3417"/>
      <c r="D47" s="3417"/>
      <c r="E47" s="3417"/>
      <c r="F47" s="553"/>
      <c r="G47" s="553"/>
      <c r="H47" s="563"/>
      <c r="I47" s="563"/>
      <c r="J47" s="27"/>
    </row>
    <row r="48" spans="1:14" s="28" customFormat="1" ht="12">
      <c r="A48" s="479"/>
      <c r="D48" s="553"/>
      <c r="E48" s="553"/>
      <c r="F48" s="553"/>
      <c r="G48" s="553"/>
      <c r="H48" s="553"/>
      <c r="I48" s="553"/>
      <c r="J48" s="553"/>
    </row>
  </sheetData>
  <sheetProtection password="C6DB" sheet="1" objects="1" scenarios="1" formatCells="0" formatColumns="0" formatRows="0"/>
  <mergeCells count="17">
    <mergeCell ref="A35:C35"/>
    <mergeCell ref="A47:E47"/>
    <mergeCell ref="A45:D45"/>
    <mergeCell ref="A46:D46"/>
    <mergeCell ref="A2:J4"/>
    <mergeCell ref="A5:J5"/>
    <mergeCell ref="A6:J6"/>
    <mergeCell ref="A8:A9"/>
    <mergeCell ref="B8:B9"/>
    <mergeCell ref="C8:C9"/>
    <mergeCell ref="D8:D9"/>
    <mergeCell ref="E8:E9"/>
    <mergeCell ref="F8:F9"/>
    <mergeCell ref="G8:G9"/>
    <mergeCell ref="H8:H9"/>
    <mergeCell ref="I8:I9"/>
    <mergeCell ref="J8:J9"/>
  </mergeCells>
  <printOptions horizontalCentered="1"/>
  <pageMargins left="0.3" right="0.35" top="0.55118110236220474" bottom="0.39370078740157483" header="0.31496062992125984" footer="0.39370078740157483"/>
  <pageSetup paperSize="9" scale="67" orientation="landscape" r:id="rId1"/>
  <ignoredErrors>
    <ignoredError sqref="E11:J12" unlockedFormula="1"/>
    <ignoredError sqref="D22 D25:J25" formulaRange="1"/>
    <ignoredError sqref="D26:J27" formulaRange="1" unlockedFormula="1"/>
    <ignoredError sqref="A25:A33 A12:A13 A15:A18 A20:A23" numberStoredAsText="1"/>
  </ignoredError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FFCC"/>
  </sheetPr>
  <dimension ref="A1:W63"/>
  <sheetViews>
    <sheetView view="pageBreakPreview" zoomScale="85" zoomScaleNormal="100" zoomScaleSheetLayoutView="85" workbookViewId="0">
      <pane xSplit="17" ySplit="7" topLeftCell="R8" activePane="bottomRight" state="frozen"/>
      <selection pane="topRight" activeCell="R1" sqref="R1"/>
      <selection pane="bottomLeft" activeCell="A8" sqref="A8"/>
      <selection pane="bottomRight" activeCell="N39" sqref="N39"/>
    </sheetView>
  </sheetViews>
  <sheetFormatPr defaultRowHeight="12.75"/>
  <cols>
    <col min="1" max="1" width="9.7109375" style="172" customWidth="1"/>
    <col min="2" max="2" width="42" style="181" customWidth="1"/>
    <col min="3" max="3" width="10" style="172" customWidth="1"/>
    <col min="4" max="4" width="7.28515625" style="172" customWidth="1"/>
    <col min="5" max="10" width="7" style="172" customWidth="1"/>
    <col min="11" max="11" width="7.7109375" style="172" customWidth="1"/>
    <col min="12" max="12" width="6.42578125" style="172" customWidth="1"/>
    <col min="13" max="18" width="6" style="172" customWidth="1"/>
    <col min="19" max="16384" width="9.140625" style="172"/>
  </cols>
  <sheetData>
    <row r="1" spans="1:18" ht="15">
      <c r="L1" s="591"/>
      <c r="M1" s="591"/>
      <c r="N1" s="591"/>
      <c r="O1" s="591"/>
      <c r="Q1" s="801" t="s">
        <v>1509</v>
      </c>
      <c r="R1" s="591"/>
    </row>
    <row r="2" spans="1:18" ht="39.75" customHeight="1">
      <c r="A2" s="3420" t="s">
        <v>875</v>
      </c>
      <c r="B2" s="3420"/>
      <c r="C2" s="3420"/>
      <c r="D2" s="3420"/>
      <c r="E2" s="3420"/>
      <c r="F2" s="3420"/>
      <c r="G2" s="3420"/>
      <c r="H2" s="3420"/>
      <c r="I2" s="3420"/>
      <c r="J2" s="3420"/>
      <c r="K2" s="3420"/>
      <c r="L2" s="3420"/>
      <c r="M2" s="3420"/>
      <c r="N2" s="3420"/>
      <c r="O2" s="3420"/>
      <c r="P2" s="3420"/>
      <c r="Q2" s="3420"/>
      <c r="R2" s="591"/>
    </row>
    <row r="3" spans="1:18" ht="15.75">
      <c r="A3" s="3421" t="str">
        <f>'1. Анкетна карта'!A3:J3</f>
        <v>на "Водоснабдяване и канализация" ООД , гр. Враца</v>
      </c>
      <c r="B3" s="3421"/>
      <c r="C3" s="3421"/>
      <c r="D3" s="3421"/>
      <c r="E3" s="3421"/>
      <c r="F3" s="3421"/>
      <c r="G3" s="3421"/>
      <c r="H3" s="3421"/>
      <c r="I3" s="3421"/>
      <c r="J3" s="3421"/>
      <c r="K3" s="3421"/>
      <c r="L3" s="3421"/>
      <c r="M3" s="3421"/>
      <c r="N3" s="3421"/>
      <c r="O3" s="3421"/>
      <c r="P3" s="3421"/>
      <c r="Q3" s="3421"/>
      <c r="R3" s="591"/>
    </row>
    <row r="4" spans="1:18" ht="15.75">
      <c r="A4" s="3421" t="str">
        <f>'1. Анкетна карта'!A4:J4</f>
        <v>ЕИК по БУЛСТАТ: 816090199</v>
      </c>
      <c r="B4" s="3421"/>
      <c r="C4" s="3421"/>
      <c r="D4" s="3421"/>
      <c r="E4" s="3421"/>
      <c r="F4" s="3421"/>
      <c r="G4" s="3421"/>
      <c r="H4" s="3421"/>
      <c r="I4" s="3421"/>
      <c r="J4" s="3421"/>
      <c r="K4" s="3421"/>
      <c r="L4" s="3421"/>
      <c r="M4" s="3421"/>
      <c r="N4" s="3421"/>
      <c r="O4" s="3421"/>
      <c r="P4" s="3421"/>
      <c r="Q4" s="3421"/>
      <c r="R4" s="591"/>
    </row>
    <row r="5" spans="1:18" ht="16.5" thickBot="1">
      <c r="A5" s="3427"/>
      <c r="B5" s="3427"/>
      <c r="C5" s="3427"/>
      <c r="D5" s="3427"/>
      <c r="E5" s="3427"/>
      <c r="F5" s="3427"/>
      <c r="G5" s="3427"/>
      <c r="H5" s="3427"/>
      <c r="I5" s="3427"/>
      <c r="J5" s="3427"/>
      <c r="K5" s="3427"/>
      <c r="L5" s="663"/>
      <c r="M5" s="663"/>
      <c r="N5" s="663"/>
      <c r="O5" s="663"/>
      <c r="P5" s="663"/>
      <c r="Q5" s="663"/>
      <c r="R5" s="663"/>
    </row>
    <row r="6" spans="1:18" ht="23.25" customHeight="1">
      <c r="A6" s="3375" t="s">
        <v>264</v>
      </c>
      <c r="B6" s="3432" t="s">
        <v>639</v>
      </c>
      <c r="C6" s="3434" t="s">
        <v>640</v>
      </c>
      <c r="D6" s="3428" t="s">
        <v>1195</v>
      </c>
      <c r="E6" s="3429"/>
      <c r="F6" s="3429"/>
      <c r="G6" s="3429"/>
      <c r="H6" s="3429"/>
      <c r="I6" s="3429"/>
      <c r="J6" s="3430"/>
      <c r="K6" s="3422" t="s">
        <v>641</v>
      </c>
      <c r="L6" s="3423"/>
      <c r="M6" s="3423"/>
      <c r="N6" s="3423"/>
      <c r="O6" s="3423"/>
      <c r="P6" s="3423"/>
      <c r="Q6" s="3424"/>
    </row>
    <row r="7" spans="1:18" ht="27" customHeight="1" thickBot="1">
      <c r="A7" s="3431"/>
      <c r="B7" s="3433"/>
      <c r="C7" s="3435"/>
      <c r="D7" s="866" t="str">
        <f>'Приложение '!$G12</f>
        <v>2015 г.</v>
      </c>
      <c r="E7" s="867" t="str">
        <f>'Приложение '!$G13</f>
        <v>2016 г.</v>
      </c>
      <c r="F7" s="867" t="str">
        <f>'Приложение '!$G14</f>
        <v>2017 г.</v>
      </c>
      <c r="G7" s="867" t="str">
        <f>'Приложение '!$G15</f>
        <v>2018 г.</v>
      </c>
      <c r="H7" s="867" t="str">
        <f>'Приложение '!$G16</f>
        <v>2019 г.</v>
      </c>
      <c r="I7" s="867" t="str">
        <f>'Приложение '!$G17</f>
        <v>2020 г.</v>
      </c>
      <c r="J7" s="868" t="str">
        <f>'Приложение '!$G18</f>
        <v>2021 г.</v>
      </c>
      <c r="K7" s="869" t="str">
        <f>D7</f>
        <v>2015 г.</v>
      </c>
      <c r="L7" s="870" t="str">
        <f t="shared" ref="L7:Q7" si="0">E7</f>
        <v>2016 г.</v>
      </c>
      <c r="M7" s="870" t="str">
        <f t="shared" si="0"/>
        <v>2017 г.</v>
      </c>
      <c r="N7" s="870" t="str">
        <f t="shared" si="0"/>
        <v>2018 г.</v>
      </c>
      <c r="O7" s="870" t="str">
        <f t="shared" si="0"/>
        <v>2019 г.</v>
      </c>
      <c r="P7" s="870" t="str">
        <f t="shared" si="0"/>
        <v>2020 г.</v>
      </c>
      <c r="Q7" s="871" t="str">
        <f t="shared" si="0"/>
        <v>2021 г.</v>
      </c>
      <c r="R7" s="592"/>
    </row>
    <row r="8" spans="1:18" ht="15" thickBot="1">
      <c r="A8" s="2638">
        <v>1</v>
      </c>
      <c r="B8" s="2639" t="s">
        <v>1194</v>
      </c>
      <c r="C8" s="2640"/>
      <c r="D8" s="783"/>
      <c r="E8" s="783"/>
      <c r="F8" s="783"/>
      <c r="G8" s="783"/>
      <c r="H8" s="783"/>
      <c r="I8" s="783"/>
      <c r="J8" s="783"/>
      <c r="K8" s="783"/>
      <c r="L8" s="783"/>
      <c r="M8" s="783"/>
      <c r="N8" s="783"/>
      <c r="O8" s="783"/>
      <c r="P8" s="783"/>
      <c r="Q8" s="784"/>
      <c r="R8" s="593"/>
    </row>
    <row r="9" spans="1:18">
      <c r="A9" s="2641" t="s">
        <v>642</v>
      </c>
      <c r="B9" s="2642" t="s">
        <v>643</v>
      </c>
      <c r="C9" s="2928" t="s">
        <v>908</v>
      </c>
      <c r="D9" s="796">
        <v>0</v>
      </c>
      <c r="E9" s="796">
        <v>0</v>
      </c>
      <c r="F9" s="796">
        <v>0</v>
      </c>
      <c r="G9" s="796">
        <v>0</v>
      </c>
      <c r="H9" s="796">
        <v>0</v>
      </c>
      <c r="I9" s="796">
        <v>0</v>
      </c>
      <c r="J9" s="796">
        <v>0</v>
      </c>
      <c r="K9" s="796">
        <v>0</v>
      </c>
      <c r="L9" s="796">
        <v>0</v>
      </c>
      <c r="M9" s="796">
        <v>0</v>
      </c>
      <c r="N9" s="796">
        <v>0</v>
      </c>
      <c r="O9" s="796">
        <v>0</v>
      </c>
      <c r="P9" s="796">
        <v>0</v>
      </c>
      <c r="Q9" s="796">
        <v>0</v>
      </c>
      <c r="R9" s="175"/>
    </row>
    <row r="10" spans="1:18">
      <c r="A10" s="2643" t="s">
        <v>644</v>
      </c>
      <c r="B10" s="2644" t="s">
        <v>988</v>
      </c>
      <c r="C10" s="2929" t="s">
        <v>908</v>
      </c>
      <c r="D10" s="781">
        <v>151</v>
      </c>
      <c r="E10" s="781">
        <v>138</v>
      </c>
      <c r="F10" s="782">
        <v>140</v>
      </c>
      <c r="G10" s="782">
        <v>137</v>
      </c>
      <c r="H10" s="782">
        <v>133</v>
      </c>
      <c r="I10" s="782">
        <v>130</v>
      </c>
      <c r="J10" s="791">
        <v>127</v>
      </c>
      <c r="K10" s="3135">
        <v>66</v>
      </c>
      <c r="L10" s="3136">
        <v>85</v>
      </c>
      <c r="M10" s="3137">
        <v>89</v>
      </c>
      <c r="N10" s="3137">
        <v>94</v>
      </c>
      <c r="O10" s="3137">
        <v>99</v>
      </c>
      <c r="P10" s="3137">
        <v>99</v>
      </c>
      <c r="Q10" s="3137">
        <v>104</v>
      </c>
      <c r="R10" s="175"/>
    </row>
    <row r="11" spans="1:18">
      <c r="A11" s="2643" t="s">
        <v>645</v>
      </c>
      <c r="B11" s="2644" t="s">
        <v>646</v>
      </c>
      <c r="C11" s="2929" t="s">
        <v>908</v>
      </c>
      <c r="D11" s="781">
        <v>1222</v>
      </c>
      <c r="E11" s="781">
        <v>1200</v>
      </c>
      <c r="F11" s="782">
        <v>1188</v>
      </c>
      <c r="G11" s="782">
        <v>1176</v>
      </c>
      <c r="H11" s="782">
        <v>1168</v>
      </c>
      <c r="I11" s="782">
        <v>1161</v>
      </c>
      <c r="J11" s="791">
        <v>1155</v>
      </c>
      <c r="K11" s="3135">
        <v>607</v>
      </c>
      <c r="L11" s="3136">
        <v>687</v>
      </c>
      <c r="M11" s="3137">
        <v>748</v>
      </c>
      <c r="N11" s="3137">
        <v>743</v>
      </c>
      <c r="O11" s="3137">
        <v>738</v>
      </c>
      <c r="P11" s="3137">
        <v>733</v>
      </c>
      <c r="Q11" s="3137">
        <v>728</v>
      </c>
      <c r="R11" s="175"/>
    </row>
    <row r="12" spans="1:18">
      <c r="A12" s="2643" t="s">
        <v>647</v>
      </c>
      <c r="B12" s="2644" t="s">
        <v>648</v>
      </c>
      <c r="C12" s="2929" t="s">
        <v>908</v>
      </c>
      <c r="D12" s="781">
        <v>1825</v>
      </c>
      <c r="E12" s="781">
        <v>1960</v>
      </c>
      <c r="F12" s="782">
        <v>1760</v>
      </c>
      <c r="G12" s="782">
        <v>1760</v>
      </c>
      <c r="H12" s="782">
        <v>1760</v>
      </c>
      <c r="I12" s="782">
        <v>1760</v>
      </c>
      <c r="J12" s="782">
        <v>1760</v>
      </c>
      <c r="K12" s="3135">
        <v>83</v>
      </c>
      <c r="L12" s="3136">
        <v>34</v>
      </c>
      <c r="M12" s="3137">
        <v>34</v>
      </c>
      <c r="N12" s="3137">
        <v>34</v>
      </c>
      <c r="O12" s="3137">
        <v>34</v>
      </c>
      <c r="P12" s="3137">
        <v>34</v>
      </c>
      <c r="Q12" s="3137">
        <v>29</v>
      </c>
      <c r="R12" s="175"/>
    </row>
    <row r="13" spans="1:18">
      <c r="A13" s="2643" t="s">
        <v>649</v>
      </c>
      <c r="B13" s="2644" t="s">
        <v>650</v>
      </c>
      <c r="C13" s="2929" t="s">
        <v>908</v>
      </c>
      <c r="D13" s="781">
        <v>0</v>
      </c>
      <c r="E13" s="781">
        <v>0</v>
      </c>
      <c r="F13" s="781">
        <v>0</v>
      </c>
      <c r="G13" s="781">
        <v>0</v>
      </c>
      <c r="H13" s="781">
        <v>0</v>
      </c>
      <c r="I13" s="781">
        <v>0</v>
      </c>
      <c r="J13" s="781">
        <v>0</v>
      </c>
      <c r="K13" s="3135">
        <v>22</v>
      </c>
      <c r="L13" s="3136">
        <v>12</v>
      </c>
      <c r="M13" s="3137">
        <v>14</v>
      </c>
      <c r="N13" s="3137">
        <v>14</v>
      </c>
      <c r="O13" s="3137">
        <v>14</v>
      </c>
      <c r="P13" s="3137">
        <v>14</v>
      </c>
      <c r="Q13" s="3137">
        <v>14</v>
      </c>
      <c r="R13" s="175"/>
    </row>
    <row r="14" spans="1:18">
      <c r="A14" s="2643" t="s">
        <v>651</v>
      </c>
      <c r="B14" s="2644" t="s">
        <v>652</v>
      </c>
      <c r="C14" s="2929" t="s">
        <v>908</v>
      </c>
      <c r="D14" s="781">
        <v>0</v>
      </c>
      <c r="E14" s="781">
        <v>0</v>
      </c>
      <c r="F14" s="781">
        <v>0</v>
      </c>
      <c r="G14" s="781">
        <v>0</v>
      </c>
      <c r="H14" s="781">
        <v>0</v>
      </c>
      <c r="I14" s="781">
        <v>0</v>
      </c>
      <c r="J14" s="781">
        <v>0</v>
      </c>
      <c r="K14" s="3135">
        <v>68</v>
      </c>
      <c r="L14" s="3136">
        <v>14</v>
      </c>
      <c r="M14" s="3137">
        <v>12</v>
      </c>
      <c r="N14" s="3137">
        <v>12</v>
      </c>
      <c r="O14" s="3137">
        <v>12</v>
      </c>
      <c r="P14" s="3137">
        <v>12</v>
      </c>
      <c r="Q14" s="3137">
        <v>12</v>
      </c>
      <c r="R14" s="175"/>
    </row>
    <row r="15" spans="1:18">
      <c r="A15" s="2643" t="s">
        <v>653</v>
      </c>
      <c r="B15" s="2644" t="s">
        <v>654</v>
      </c>
      <c r="C15" s="2929" t="s">
        <v>908</v>
      </c>
      <c r="D15" s="781">
        <v>0</v>
      </c>
      <c r="E15" s="781">
        <v>0</v>
      </c>
      <c r="F15" s="781">
        <v>0</v>
      </c>
      <c r="G15" s="781">
        <v>0</v>
      </c>
      <c r="H15" s="781">
        <v>0</v>
      </c>
      <c r="I15" s="781">
        <v>0</v>
      </c>
      <c r="J15" s="781">
        <v>0</v>
      </c>
      <c r="K15" s="3135">
        <v>21</v>
      </c>
      <c r="L15" s="3136">
        <v>13</v>
      </c>
      <c r="M15" s="3137">
        <v>16</v>
      </c>
      <c r="N15" s="3137">
        <v>16</v>
      </c>
      <c r="O15" s="3137">
        <v>21</v>
      </c>
      <c r="P15" s="3137">
        <v>26</v>
      </c>
      <c r="Q15" s="3137">
        <v>31</v>
      </c>
      <c r="R15" s="175"/>
    </row>
    <row r="16" spans="1:18" ht="24">
      <c r="A16" s="2643" t="s">
        <v>655</v>
      </c>
      <c r="B16" s="2644" t="s">
        <v>656</v>
      </c>
      <c r="C16" s="2929" t="s">
        <v>908</v>
      </c>
      <c r="D16" s="781">
        <v>0</v>
      </c>
      <c r="E16" s="781">
        <v>0</v>
      </c>
      <c r="F16" s="781">
        <v>0</v>
      </c>
      <c r="G16" s="781">
        <v>0</v>
      </c>
      <c r="H16" s="781">
        <v>0</v>
      </c>
      <c r="I16" s="781">
        <v>0</v>
      </c>
      <c r="J16" s="781">
        <v>0</v>
      </c>
      <c r="K16" s="3135">
        <v>38</v>
      </c>
      <c r="L16" s="3136">
        <v>5</v>
      </c>
      <c r="M16" s="3137">
        <v>10</v>
      </c>
      <c r="N16" s="3137">
        <v>10</v>
      </c>
      <c r="O16" s="3137">
        <v>10</v>
      </c>
      <c r="P16" s="3137">
        <v>10</v>
      </c>
      <c r="Q16" s="3137">
        <v>10</v>
      </c>
      <c r="R16" s="175"/>
    </row>
    <row r="17" spans="1:18">
      <c r="A17" s="2643" t="s">
        <v>657</v>
      </c>
      <c r="B17" s="2644" t="s">
        <v>658</v>
      </c>
      <c r="C17" s="2929" t="s">
        <v>908</v>
      </c>
      <c r="D17" s="781">
        <v>34</v>
      </c>
      <c r="E17" s="781">
        <v>35</v>
      </c>
      <c r="F17" s="782">
        <v>20</v>
      </c>
      <c r="G17" s="782">
        <v>20</v>
      </c>
      <c r="H17" s="782">
        <v>20</v>
      </c>
      <c r="I17" s="782">
        <v>20</v>
      </c>
      <c r="J17" s="782">
        <v>20</v>
      </c>
      <c r="K17" s="3135">
        <v>42</v>
      </c>
      <c r="L17" s="3136">
        <v>34</v>
      </c>
      <c r="M17" s="3137">
        <v>39</v>
      </c>
      <c r="N17" s="3137">
        <v>39</v>
      </c>
      <c r="O17" s="3137">
        <v>34</v>
      </c>
      <c r="P17" s="3137">
        <v>34</v>
      </c>
      <c r="Q17" s="3137">
        <v>34</v>
      </c>
      <c r="R17" s="175"/>
    </row>
    <row r="18" spans="1:18" ht="24">
      <c r="A18" s="2643" t="s">
        <v>659</v>
      </c>
      <c r="B18" s="2644" t="s">
        <v>660</v>
      </c>
      <c r="C18" s="2929" t="s">
        <v>908</v>
      </c>
      <c r="D18" s="781">
        <v>0</v>
      </c>
      <c r="E18" s="781">
        <v>0</v>
      </c>
      <c r="F18" s="781">
        <v>0</v>
      </c>
      <c r="G18" s="781">
        <v>0</v>
      </c>
      <c r="H18" s="781">
        <v>0</v>
      </c>
      <c r="I18" s="781">
        <v>0</v>
      </c>
      <c r="J18" s="781">
        <v>0</v>
      </c>
      <c r="K18" s="781">
        <v>33</v>
      </c>
      <c r="L18" s="2420">
        <v>8</v>
      </c>
      <c r="M18" s="782">
        <v>8</v>
      </c>
      <c r="N18" s="782">
        <v>8</v>
      </c>
      <c r="O18" s="782">
        <v>8</v>
      </c>
      <c r="P18" s="782">
        <v>8</v>
      </c>
      <c r="Q18" s="782">
        <v>8</v>
      </c>
      <c r="R18" s="175"/>
    </row>
    <row r="19" spans="1:18">
      <c r="A19" s="2643" t="s">
        <v>915</v>
      </c>
      <c r="B19" s="2645" t="s">
        <v>1198</v>
      </c>
      <c r="C19" s="2929" t="s">
        <v>908</v>
      </c>
      <c r="D19" s="781">
        <v>0</v>
      </c>
      <c r="E19" s="781">
        <v>0</v>
      </c>
      <c r="F19" s="781">
        <v>0</v>
      </c>
      <c r="G19" s="781">
        <v>0</v>
      </c>
      <c r="H19" s="781">
        <v>0</v>
      </c>
      <c r="I19" s="781">
        <v>0</v>
      </c>
      <c r="J19" s="781">
        <v>0</v>
      </c>
      <c r="K19" s="781">
        <v>0</v>
      </c>
      <c r="L19" s="781">
        <v>0</v>
      </c>
      <c r="M19" s="781">
        <v>0</v>
      </c>
      <c r="N19" s="781">
        <v>0</v>
      </c>
      <c r="O19" s="781">
        <v>0</v>
      </c>
      <c r="P19" s="781">
        <v>0</v>
      </c>
      <c r="Q19" s="781">
        <v>0</v>
      </c>
      <c r="R19" s="175"/>
    </row>
    <row r="20" spans="1:18">
      <c r="A20" s="2643" t="s">
        <v>995</v>
      </c>
      <c r="B20" s="2645" t="s">
        <v>1199</v>
      </c>
      <c r="C20" s="2929" t="s">
        <v>908</v>
      </c>
      <c r="D20" s="781">
        <v>0</v>
      </c>
      <c r="E20" s="781">
        <v>0</v>
      </c>
      <c r="F20" s="781">
        <v>0</v>
      </c>
      <c r="G20" s="781">
        <v>0</v>
      </c>
      <c r="H20" s="781">
        <v>0</v>
      </c>
      <c r="I20" s="781">
        <v>0</v>
      </c>
      <c r="J20" s="781">
        <v>0</v>
      </c>
      <c r="K20" s="781">
        <v>0</v>
      </c>
      <c r="L20" s="781">
        <v>0</v>
      </c>
      <c r="M20" s="781">
        <v>0</v>
      </c>
      <c r="N20" s="781">
        <v>0</v>
      </c>
      <c r="O20" s="781">
        <v>0</v>
      </c>
      <c r="P20" s="781">
        <v>0</v>
      </c>
      <c r="Q20" s="781">
        <v>0</v>
      </c>
      <c r="R20" s="175"/>
    </row>
    <row r="21" spans="1:18">
      <c r="A21" s="2643" t="s">
        <v>996</v>
      </c>
      <c r="B21" s="2646" t="s">
        <v>975</v>
      </c>
      <c r="C21" s="2929" t="s">
        <v>908</v>
      </c>
      <c r="D21" s="781">
        <v>0</v>
      </c>
      <c r="E21" s="781">
        <v>0</v>
      </c>
      <c r="F21" s="781">
        <v>0</v>
      </c>
      <c r="G21" s="781">
        <v>0</v>
      </c>
      <c r="H21" s="781">
        <v>0</v>
      </c>
      <c r="I21" s="781">
        <v>0</v>
      </c>
      <c r="J21" s="781">
        <v>0</v>
      </c>
      <c r="K21" s="781">
        <v>0</v>
      </c>
      <c r="L21" s="3123">
        <v>8</v>
      </c>
      <c r="M21" s="782">
        <v>10</v>
      </c>
      <c r="N21" s="782">
        <v>10</v>
      </c>
      <c r="O21" s="782">
        <v>10</v>
      </c>
      <c r="P21" s="782">
        <v>10</v>
      </c>
      <c r="Q21" s="782">
        <v>10</v>
      </c>
      <c r="R21" s="175"/>
    </row>
    <row r="22" spans="1:18" ht="24.75" thickBot="1">
      <c r="A22" s="2643" t="s">
        <v>997</v>
      </c>
      <c r="B22" s="2644" t="s">
        <v>978</v>
      </c>
      <c r="C22" s="2929" t="s">
        <v>380</v>
      </c>
      <c r="D22" s="781">
        <v>0</v>
      </c>
      <c r="E22" s="781">
        <v>0</v>
      </c>
      <c r="F22" s="781">
        <v>0</v>
      </c>
      <c r="G22" s="781">
        <v>0</v>
      </c>
      <c r="H22" s="781">
        <v>0</v>
      </c>
      <c r="I22" s="781">
        <v>0</v>
      </c>
      <c r="J22" s="781">
        <v>0</v>
      </c>
      <c r="K22" s="781">
        <v>0</v>
      </c>
      <c r="L22" s="781">
        <v>0</v>
      </c>
      <c r="M22" s="781">
        <v>0</v>
      </c>
      <c r="N22" s="781">
        <v>0</v>
      </c>
      <c r="O22" s="781">
        <v>0</v>
      </c>
      <c r="P22" s="781">
        <v>0</v>
      </c>
      <c r="Q22" s="781">
        <v>0</v>
      </c>
      <c r="R22" s="175"/>
    </row>
    <row r="23" spans="1:18" ht="24" customHeight="1" thickBot="1">
      <c r="A23" s="2647"/>
      <c r="B23" s="2648" t="s">
        <v>1196</v>
      </c>
      <c r="C23" s="2649"/>
      <c r="D23" s="2609">
        <f t="shared" ref="D23:Q23" si="1">SUM(D9:D22)</f>
        <v>3232</v>
      </c>
      <c r="E23" s="2610">
        <f t="shared" si="1"/>
        <v>3333</v>
      </c>
      <c r="F23" s="2610">
        <f t="shared" si="1"/>
        <v>3108</v>
      </c>
      <c r="G23" s="2610">
        <f t="shared" si="1"/>
        <v>3093</v>
      </c>
      <c r="H23" s="2610">
        <f t="shared" si="1"/>
        <v>3081</v>
      </c>
      <c r="I23" s="2610">
        <f t="shared" si="1"/>
        <v>3071</v>
      </c>
      <c r="J23" s="2611">
        <f t="shared" si="1"/>
        <v>3062</v>
      </c>
      <c r="K23" s="2612">
        <f t="shared" si="1"/>
        <v>980</v>
      </c>
      <c r="L23" s="2613">
        <f t="shared" si="1"/>
        <v>900</v>
      </c>
      <c r="M23" s="2613">
        <f t="shared" si="1"/>
        <v>980</v>
      </c>
      <c r="N23" s="2613">
        <f t="shared" si="1"/>
        <v>980</v>
      </c>
      <c r="O23" s="2613">
        <f t="shared" si="1"/>
        <v>980</v>
      </c>
      <c r="P23" s="2613">
        <f t="shared" si="1"/>
        <v>980</v>
      </c>
      <c r="Q23" s="2614">
        <f t="shared" si="1"/>
        <v>980</v>
      </c>
      <c r="R23" s="175"/>
    </row>
    <row r="24" spans="1:18" ht="24" customHeight="1" thickBot="1">
      <c r="A24" s="2650"/>
      <c r="B24" s="2651" t="s">
        <v>914</v>
      </c>
      <c r="C24" s="2652"/>
      <c r="D24" s="2615"/>
      <c r="E24" s="2616"/>
      <c r="F24" s="2616"/>
      <c r="G24" s="2616"/>
      <c r="H24" s="2616"/>
      <c r="I24" s="2616"/>
      <c r="J24" s="2617"/>
      <c r="K24" s="2618">
        <f>K23-'12. Разходи'!C86</f>
        <v>0</v>
      </c>
      <c r="L24" s="2618">
        <f>L23-'12. Разходи'!D86</f>
        <v>0</v>
      </c>
      <c r="M24" s="2618">
        <f>M23-'12. Разходи'!E86</f>
        <v>0</v>
      </c>
      <c r="N24" s="2618">
        <f>N23-'12. Разходи'!F86</f>
        <v>0</v>
      </c>
      <c r="O24" s="2618">
        <f>O23-'12. Разходи'!G86</f>
        <v>0</v>
      </c>
      <c r="P24" s="2618">
        <f>P23-'12. Разходи'!H86</f>
        <v>0</v>
      </c>
      <c r="Q24" s="2619">
        <f>Q23-'12. Разходи'!I86</f>
        <v>0</v>
      </c>
      <c r="R24" s="175"/>
    </row>
    <row r="25" spans="1:18" ht="25.5" customHeight="1" thickBot="1">
      <c r="A25" s="2653">
        <v>2</v>
      </c>
      <c r="B25" s="2654" t="s">
        <v>1197</v>
      </c>
      <c r="C25" s="2655"/>
      <c r="D25" s="786"/>
      <c r="E25" s="786"/>
      <c r="F25" s="786"/>
      <c r="G25" s="786"/>
      <c r="H25" s="786"/>
      <c r="I25" s="786"/>
      <c r="J25" s="786"/>
      <c r="K25" s="786"/>
      <c r="L25" s="786"/>
      <c r="M25" s="786"/>
      <c r="N25" s="786"/>
      <c r="O25" s="786"/>
      <c r="P25" s="786"/>
      <c r="Q25" s="787"/>
      <c r="R25" s="482"/>
    </row>
    <row r="26" spans="1:18" ht="13.5" thickBot="1">
      <c r="A26" s="2656" t="s">
        <v>661</v>
      </c>
      <c r="B26" s="2657" t="s">
        <v>662</v>
      </c>
      <c r="C26" s="2928" t="s">
        <v>908</v>
      </c>
      <c r="D26" s="799">
        <v>0</v>
      </c>
      <c r="E26" s="799">
        <v>0</v>
      </c>
      <c r="F26" s="799">
        <v>0</v>
      </c>
      <c r="G26" s="799">
        <v>0</v>
      </c>
      <c r="H26" s="799">
        <v>0</v>
      </c>
      <c r="I26" s="799">
        <v>0</v>
      </c>
      <c r="J26" s="799">
        <v>0</v>
      </c>
      <c r="K26" s="3138">
        <v>5</v>
      </c>
      <c r="L26" s="3138">
        <v>8</v>
      </c>
      <c r="M26" s="3138">
        <v>5</v>
      </c>
      <c r="N26" s="3138">
        <v>5</v>
      </c>
      <c r="O26" s="3138">
        <v>5</v>
      </c>
      <c r="P26" s="3138">
        <v>5</v>
      </c>
      <c r="Q26" s="3138">
        <v>5</v>
      </c>
      <c r="R26" s="175"/>
    </row>
    <row r="27" spans="1:18" ht="13.5" thickBot="1">
      <c r="A27" s="2643" t="s">
        <v>663</v>
      </c>
      <c r="B27" s="2644" t="s">
        <v>664</v>
      </c>
      <c r="C27" s="2929" t="s">
        <v>908</v>
      </c>
      <c r="D27" s="799">
        <v>0</v>
      </c>
      <c r="E27" s="799">
        <v>0</v>
      </c>
      <c r="F27" s="799">
        <v>0</v>
      </c>
      <c r="G27" s="799">
        <v>0</v>
      </c>
      <c r="H27" s="799">
        <v>0</v>
      </c>
      <c r="I27" s="799">
        <v>0</v>
      </c>
      <c r="J27" s="799">
        <v>0</v>
      </c>
      <c r="K27" s="3138">
        <v>5</v>
      </c>
      <c r="L27" s="3138">
        <v>5</v>
      </c>
      <c r="M27" s="3138">
        <v>5</v>
      </c>
      <c r="N27" s="3138">
        <v>5</v>
      </c>
      <c r="O27" s="3138">
        <v>5</v>
      </c>
      <c r="P27" s="3138">
        <v>5</v>
      </c>
      <c r="Q27" s="3138">
        <v>5</v>
      </c>
      <c r="R27" s="175"/>
    </row>
    <row r="28" spans="1:18" ht="13.5" thickBot="1">
      <c r="A28" s="2643" t="s">
        <v>665</v>
      </c>
      <c r="B28" s="2644" t="s">
        <v>666</v>
      </c>
      <c r="C28" s="2929" t="s">
        <v>908</v>
      </c>
      <c r="D28" s="799">
        <v>0</v>
      </c>
      <c r="E28" s="799">
        <v>0</v>
      </c>
      <c r="F28" s="799">
        <v>0</v>
      </c>
      <c r="G28" s="799">
        <v>0</v>
      </c>
      <c r="H28" s="799">
        <v>0</v>
      </c>
      <c r="I28" s="799">
        <v>0</v>
      </c>
      <c r="J28" s="799">
        <v>0</v>
      </c>
      <c r="K28" s="3138">
        <v>0</v>
      </c>
      <c r="L28" s="3138">
        <v>0</v>
      </c>
      <c r="M28" s="3138">
        <v>0</v>
      </c>
      <c r="N28" s="3138">
        <v>0</v>
      </c>
      <c r="O28" s="3138">
        <v>0</v>
      </c>
      <c r="P28" s="3138">
        <v>0</v>
      </c>
      <c r="Q28" s="3138">
        <v>0</v>
      </c>
      <c r="R28" s="175"/>
    </row>
    <row r="29" spans="1:18" ht="24.75" thickBot="1">
      <c r="A29" s="2643" t="s">
        <v>667</v>
      </c>
      <c r="B29" s="2644" t="s">
        <v>668</v>
      </c>
      <c r="C29" s="2929" t="s">
        <v>908</v>
      </c>
      <c r="D29" s="799">
        <v>0</v>
      </c>
      <c r="E29" s="799">
        <v>0</v>
      </c>
      <c r="F29" s="799">
        <v>0</v>
      </c>
      <c r="G29" s="799">
        <v>0</v>
      </c>
      <c r="H29" s="799">
        <v>0</v>
      </c>
      <c r="I29" s="799">
        <v>0</v>
      </c>
      <c r="J29" s="799">
        <v>0</v>
      </c>
      <c r="K29" s="799">
        <v>0</v>
      </c>
      <c r="L29" s="799">
        <v>0</v>
      </c>
      <c r="M29" s="799">
        <v>0</v>
      </c>
      <c r="N29" s="799">
        <v>0</v>
      </c>
      <c r="O29" s="799">
        <v>0</v>
      </c>
      <c r="P29" s="799">
        <v>0</v>
      </c>
      <c r="Q29" s="799">
        <v>0</v>
      </c>
      <c r="R29" s="175"/>
    </row>
    <row r="30" spans="1:18" ht="13.5" thickBot="1">
      <c r="A30" s="2643" t="s">
        <v>669</v>
      </c>
      <c r="B30" s="2644" t="s">
        <v>670</v>
      </c>
      <c r="C30" s="2929" t="s">
        <v>908</v>
      </c>
      <c r="D30" s="799">
        <v>0</v>
      </c>
      <c r="E30" s="799">
        <v>0</v>
      </c>
      <c r="F30" s="799">
        <v>0</v>
      </c>
      <c r="G30" s="799">
        <v>0</v>
      </c>
      <c r="H30" s="799">
        <v>0</v>
      </c>
      <c r="I30" s="799">
        <v>0</v>
      </c>
      <c r="J30" s="799">
        <v>0</v>
      </c>
      <c r="K30" s="799">
        <v>0</v>
      </c>
      <c r="L30" s="799">
        <v>0</v>
      </c>
      <c r="M30" s="799">
        <v>0</v>
      </c>
      <c r="N30" s="799">
        <v>0</v>
      </c>
      <c r="O30" s="799">
        <v>0</v>
      </c>
      <c r="P30" s="799">
        <v>0</v>
      </c>
      <c r="Q30" s="799">
        <v>0</v>
      </c>
      <c r="R30" s="175"/>
    </row>
    <row r="31" spans="1:18" ht="24.75" thickBot="1">
      <c r="A31" s="2643" t="s">
        <v>671</v>
      </c>
      <c r="B31" s="2646" t="s">
        <v>672</v>
      </c>
      <c r="C31" s="2929" t="s">
        <v>908</v>
      </c>
      <c r="D31" s="799">
        <v>0</v>
      </c>
      <c r="E31" s="799">
        <v>0</v>
      </c>
      <c r="F31" s="799">
        <v>0</v>
      </c>
      <c r="G31" s="799">
        <v>0</v>
      </c>
      <c r="H31" s="799">
        <v>0</v>
      </c>
      <c r="I31" s="799">
        <v>0</v>
      </c>
      <c r="J31" s="799">
        <v>0</v>
      </c>
      <c r="K31" s="799">
        <v>0</v>
      </c>
      <c r="L31" s="799">
        <v>0</v>
      </c>
      <c r="M31" s="799">
        <v>0</v>
      </c>
      <c r="N31" s="799">
        <v>0</v>
      </c>
      <c r="O31" s="799">
        <v>0</v>
      </c>
      <c r="P31" s="799">
        <v>0</v>
      </c>
      <c r="Q31" s="799">
        <v>0</v>
      </c>
      <c r="R31" s="175"/>
    </row>
    <row r="32" spans="1:18" ht="13.5" thickBot="1">
      <c r="A32" s="2643" t="s">
        <v>916</v>
      </c>
      <c r="B32" s="2645" t="s">
        <v>1198</v>
      </c>
      <c r="C32" s="2929" t="s">
        <v>908</v>
      </c>
      <c r="D32" s="799">
        <v>0</v>
      </c>
      <c r="E32" s="799">
        <v>0</v>
      </c>
      <c r="F32" s="799">
        <v>0</v>
      </c>
      <c r="G32" s="799">
        <v>0</v>
      </c>
      <c r="H32" s="799">
        <v>0</v>
      </c>
      <c r="I32" s="799">
        <v>0</v>
      </c>
      <c r="J32" s="799">
        <v>0</v>
      </c>
      <c r="K32" s="3138">
        <v>5</v>
      </c>
      <c r="L32" s="3138">
        <v>5</v>
      </c>
      <c r="M32" s="3138">
        <v>5</v>
      </c>
      <c r="N32" s="3138">
        <v>5</v>
      </c>
      <c r="O32" s="3138">
        <v>5</v>
      </c>
      <c r="P32" s="3138">
        <v>5</v>
      </c>
      <c r="Q32" s="3138">
        <v>5</v>
      </c>
      <c r="R32" s="175"/>
    </row>
    <row r="33" spans="1:18" ht="24.75" thickBot="1">
      <c r="A33" s="2643" t="s">
        <v>993</v>
      </c>
      <c r="B33" s="2644" t="s">
        <v>1200</v>
      </c>
      <c r="C33" s="2929" t="s">
        <v>908</v>
      </c>
      <c r="D33" s="799">
        <v>0</v>
      </c>
      <c r="E33" s="799">
        <v>0</v>
      </c>
      <c r="F33" s="799">
        <v>0</v>
      </c>
      <c r="G33" s="799">
        <v>0</v>
      </c>
      <c r="H33" s="799">
        <v>0</v>
      </c>
      <c r="I33" s="799">
        <v>0</v>
      </c>
      <c r="J33" s="799">
        <v>0</v>
      </c>
      <c r="K33" s="799">
        <v>0</v>
      </c>
      <c r="L33" s="799">
        <v>0</v>
      </c>
      <c r="M33" s="799">
        <v>0</v>
      </c>
      <c r="N33" s="799">
        <v>0</v>
      </c>
      <c r="O33" s="799">
        <v>0</v>
      </c>
      <c r="P33" s="799">
        <v>0</v>
      </c>
      <c r="Q33" s="799">
        <v>0</v>
      </c>
      <c r="R33" s="175"/>
    </row>
    <row r="34" spans="1:18" ht="13.5" thickBot="1">
      <c r="A34" s="2643" t="s">
        <v>998</v>
      </c>
      <c r="B34" s="2646" t="s">
        <v>976</v>
      </c>
      <c r="C34" s="2929" t="s">
        <v>908</v>
      </c>
      <c r="D34" s="799">
        <v>0</v>
      </c>
      <c r="E34" s="799">
        <v>0</v>
      </c>
      <c r="F34" s="799">
        <v>0</v>
      </c>
      <c r="G34" s="799">
        <v>0</v>
      </c>
      <c r="H34" s="799">
        <v>0</v>
      </c>
      <c r="I34" s="799">
        <v>0</v>
      </c>
      <c r="J34" s="799">
        <v>0</v>
      </c>
      <c r="K34" s="799">
        <v>0</v>
      </c>
      <c r="L34" s="799">
        <v>0</v>
      </c>
      <c r="M34" s="799">
        <v>0</v>
      </c>
      <c r="N34" s="799">
        <v>0</v>
      </c>
      <c r="O34" s="799">
        <v>0</v>
      </c>
      <c r="P34" s="799">
        <v>0</v>
      </c>
      <c r="Q34" s="799">
        <v>0</v>
      </c>
      <c r="R34" s="175"/>
    </row>
    <row r="35" spans="1:18" ht="24.75" thickBot="1">
      <c r="A35" s="2658" t="s">
        <v>1201</v>
      </c>
      <c r="B35" s="2659" t="s">
        <v>979</v>
      </c>
      <c r="C35" s="2930" t="s">
        <v>380</v>
      </c>
      <c r="D35" s="799">
        <v>0</v>
      </c>
      <c r="E35" s="799">
        <v>0</v>
      </c>
      <c r="F35" s="799">
        <v>0</v>
      </c>
      <c r="G35" s="799">
        <v>0</v>
      </c>
      <c r="H35" s="799">
        <v>0</v>
      </c>
      <c r="I35" s="799">
        <v>0</v>
      </c>
      <c r="J35" s="799">
        <v>0</v>
      </c>
      <c r="K35" s="799">
        <v>0</v>
      </c>
      <c r="L35" s="799">
        <v>0</v>
      </c>
      <c r="M35" s="799">
        <v>0</v>
      </c>
      <c r="N35" s="799">
        <v>0</v>
      </c>
      <c r="O35" s="799">
        <v>0</v>
      </c>
      <c r="P35" s="799">
        <v>0</v>
      </c>
      <c r="Q35" s="799">
        <v>0</v>
      </c>
      <c r="R35" s="175"/>
    </row>
    <row r="36" spans="1:18" ht="25.5" customHeight="1" thickBot="1">
      <c r="A36" s="2647"/>
      <c r="B36" s="2648" t="s">
        <v>1202</v>
      </c>
      <c r="C36" s="2649"/>
      <c r="D36" s="2609">
        <f>SUM(D26:D35)</f>
        <v>0</v>
      </c>
      <c r="E36" s="2610">
        <f t="shared" ref="E36:Q36" si="2">SUM(E26:E35)</f>
        <v>0</v>
      </c>
      <c r="F36" s="2610">
        <f t="shared" si="2"/>
        <v>0</v>
      </c>
      <c r="G36" s="2610">
        <f t="shared" si="2"/>
        <v>0</v>
      </c>
      <c r="H36" s="2610">
        <f t="shared" si="2"/>
        <v>0</v>
      </c>
      <c r="I36" s="2610">
        <f>SUM(I26:I35)</f>
        <v>0</v>
      </c>
      <c r="J36" s="2611">
        <f>SUM(J26:J35)</f>
        <v>0</v>
      </c>
      <c r="K36" s="2620">
        <f t="shared" si="2"/>
        <v>15</v>
      </c>
      <c r="L36" s="2610">
        <f t="shared" si="2"/>
        <v>18</v>
      </c>
      <c r="M36" s="2610">
        <f t="shared" si="2"/>
        <v>15</v>
      </c>
      <c r="N36" s="2610">
        <f t="shared" si="2"/>
        <v>15</v>
      </c>
      <c r="O36" s="2610">
        <f t="shared" si="2"/>
        <v>15</v>
      </c>
      <c r="P36" s="2610">
        <f t="shared" si="2"/>
        <v>15</v>
      </c>
      <c r="Q36" s="2611">
        <f t="shared" si="2"/>
        <v>15</v>
      </c>
      <c r="R36" s="175"/>
    </row>
    <row r="37" spans="1:18" s="794" customFormat="1" ht="22.5" customHeight="1" thickBot="1">
      <c r="A37" s="2650"/>
      <c r="B37" s="2651" t="s">
        <v>914</v>
      </c>
      <c r="C37" s="2652"/>
      <c r="D37" s="2615"/>
      <c r="E37" s="2616"/>
      <c r="F37" s="2616"/>
      <c r="G37" s="2616"/>
      <c r="H37" s="2616"/>
      <c r="I37" s="2616"/>
      <c r="J37" s="2617"/>
      <c r="K37" s="2621">
        <f>K36-'12. Разходи'!J86</f>
        <v>0</v>
      </c>
      <c r="L37" s="2622">
        <f>L36-'12. Разходи'!K86</f>
        <v>0</v>
      </c>
      <c r="M37" s="2622">
        <f>M36-'12. Разходи'!L86</f>
        <v>0</v>
      </c>
      <c r="N37" s="2622">
        <f>N36-'12. Разходи'!M86</f>
        <v>0</v>
      </c>
      <c r="O37" s="2622">
        <f>O36-'12. Разходи'!N86</f>
        <v>0</v>
      </c>
      <c r="P37" s="2622">
        <f>P36-'12. Разходи'!O86</f>
        <v>0</v>
      </c>
      <c r="Q37" s="2623">
        <f>Q36-'12. Разходи'!P86</f>
        <v>0</v>
      </c>
      <c r="R37" s="793"/>
    </row>
    <row r="38" spans="1:18" ht="21" customHeight="1" thickBot="1">
      <c r="A38" s="2653">
        <v>3</v>
      </c>
      <c r="B38" s="2654" t="s">
        <v>1205</v>
      </c>
      <c r="C38" s="2655"/>
      <c r="D38" s="786"/>
      <c r="E38" s="786"/>
      <c r="F38" s="786"/>
      <c r="G38" s="786"/>
      <c r="H38" s="786"/>
      <c r="I38" s="786"/>
      <c r="J38" s="786"/>
      <c r="K38" s="786"/>
      <c r="L38" s="786"/>
      <c r="M38" s="786"/>
      <c r="N38" s="786"/>
      <c r="O38" s="786"/>
      <c r="P38" s="786"/>
      <c r="Q38" s="787"/>
      <c r="R38" s="482"/>
    </row>
    <row r="39" spans="1:18" ht="13.5" thickBot="1">
      <c r="A39" s="2656" t="s">
        <v>327</v>
      </c>
      <c r="B39" s="2657" t="s">
        <v>673</v>
      </c>
      <c r="C39" s="2928" t="s">
        <v>908</v>
      </c>
      <c r="D39" s="799">
        <v>0</v>
      </c>
      <c r="E39" s="799">
        <v>0</v>
      </c>
      <c r="F39" s="799">
        <v>0</v>
      </c>
      <c r="G39" s="799">
        <v>0</v>
      </c>
      <c r="H39" s="799">
        <v>0</v>
      </c>
      <c r="I39" s="3138">
        <v>0</v>
      </c>
      <c r="J39" s="3138">
        <v>0</v>
      </c>
      <c r="K39" s="3138">
        <v>10</v>
      </c>
      <c r="L39" s="3138">
        <v>10</v>
      </c>
      <c r="M39" s="3138">
        <v>10</v>
      </c>
      <c r="N39" s="3138">
        <v>45</v>
      </c>
      <c r="O39" s="3138">
        <v>10</v>
      </c>
      <c r="P39" s="3138">
        <v>10</v>
      </c>
      <c r="Q39" s="3138">
        <v>10</v>
      </c>
      <c r="R39" s="594"/>
    </row>
    <row r="40" spans="1:18" ht="13.5" thickBot="1">
      <c r="A40" s="2643" t="s">
        <v>328</v>
      </c>
      <c r="B40" s="2644" t="s">
        <v>674</v>
      </c>
      <c r="C40" s="2929" t="s">
        <v>908</v>
      </c>
      <c r="D40" s="799">
        <v>0</v>
      </c>
      <c r="E40" s="799">
        <v>0</v>
      </c>
      <c r="F40" s="799">
        <v>0</v>
      </c>
      <c r="G40" s="799">
        <v>0</v>
      </c>
      <c r="H40" s="799">
        <v>0</v>
      </c>
      <c r="I40" s="3138">
        <v>0</v>
      </c>
      <c r="J40" s="3138">
        <v>0</v>
      </c>
      <c r="K40" s="3138">
        <v>0</v>
      </c>
      <c r="L40" s="3138">
        <v>10</v>
      </c>
      <c r="M40" s="3138">
        <v>0</v>
      </c>
      <c r="N40" s="3138">
        <v>0</v>
      </c>
      <c r="O40" s="3138">
        <v>0</v>
      </c>
      <c r="P40" s="3138">
        <v>0</v>
      </c>
      <c r="Q40" s="3138">
        <v>0</v>
      </c>
      <c r="R40" s="594"/>
    </row>
    <row r="41" spans="1:18" ht="24.75" thickBot="1">
      <c r="A41" s="2643" t="s">
        <v>675</v>
      </c>
      <c r="B41" s="2644" t="s">
        <v>676</v>
      </c>
      <c r="C41" s="2929" t="s">
        <v>908</v>
      </c>
      <c r="D41" s="799">
        <v>0</v>
      </c>
      <c r="E41" s="799">
        <v>0</v>
      </c>
      <c r="F41" s="799">
        <v>0</v>
      </c>
      <c r="G41" s="799">
        <v>0</v>
      </c>
      <c r="H41" s="799">
        <v>0</v>
      </c>
      <c r="I41" s="3138">
        <v>0</v>
      </c>
      <c r="J41" s="3138">
        <v>0</v>
      </c>
      <c r="K41" s="3138">
        <v>6</v>
      </c>
      <c r="L41" s="3138">
        <v>19</v>
      </c>
      <c r="M41" s="3138">
        <v>6</v>
      </c>
      <c r="N41" s="3138">
        <v>6</v>
      </c>
      <c r="O41" s="3138">
        <v>6</v>
      </c>
      <c r="P41" s="3138">
        <v>6</v>
      </c>
      <c r="Q41" s="3138">
        <v>6</v>
      </c>
      <c r="R41" s="594"/>
    </row>
    <row r="42" spans="1:18" ht="13.5" thickBot="1">
      <c r="A42" s="2643" t="s">
        <v>677</v>
      </c>
      <c r="B42" s="2644" t="s">
        <v>678</v>
      </c>
      <c r="C42" s="2929" t="s">
        <v>908</v>
      </c>
      <c r="D42" s="799">
        <v>0</v>
      </c>
      <c r="E42" s="799">
        <v>0</v>
      </c>
      <c r="F42" s="799">
        <v>0</v>
      </c>
      <c r="G42" s="799">
        <v>0</v>
      </c>
      <c r="H42" s="799">
        <v>0</v>
      </c>
      <c r="I42" s="3138">
        <v>0</v>
      </c>
      <c r="J42" s="3138">
        <v>0</v>
      </c>
      <c r="K42" s="3138">
        <v>0</v>
      </c>
      <c r="L42" s="3138">
        <v>0</v>
      </c>
      <c r="M42" s="3138">
        <v>0</v>
      </c>
      <c r="N42" s="3138">
        <v>0</v>
      </c>
      <c r="O42" s="3138">
        <v>0</v>
      </c>
      <c r="P42" s="3138">
        <v>0</v>
      </c>
      <c r="Q42" s="3138">
        <v>0</v>
      </c>
      <c r="R42" s="594"/>
    </row>
    <row r="43" spans="1:18" ht="24.75" thickBot="1">
      <c r="A43" s="2643" t="s">
        <v>679</v>
      </c>
      <c r="B43" s="2644" t="s">
        <v>680</v>
      </c>
      <c r="C43" s="2929" t="s">
        <v>908</v>
      </c>
      <c r="D43" s="799">
        <v>0</v>
      </c>
      <c r="E43" s="799">
        <v>0</v>
      </c>
      <c r="F43" s="799">
        <v>0</v>
      </c>
      <c r="G43" s="799">
        <v>0</v>
      </c>
      <c r="H43" s="799">
        <v>0</v>
      </c>
      <c r="I43" s="3138">
        <v>0</v>
      </c>
      <c r="J43" s="3138">
        <v>0</v>
      </c>
      <c r="K43" s="3138">
        <v>0</v>
      </c>
      <c r="L43" s="3138">
        <v>15</v>
      </c>
      <c r="M43" s="3138">
        <v>0</v>
      </c>
      <c r="N43" s="3138">
        <v>0</v>
      </c>
      <c r="O43" s="3138">
        <v>0</v>
      </c>
      <c r="P43" s="3138">
        <v>0</v>
      </c>
      <c r="Q43" s="3138">
        <v>0</v>
      </c>
      <c r="R43" s="594"/>
    </row>
    <row r="44" spans="1:18" ht="13.5" thickBot="1">
      <c r="A44" s="2643" t="s">
        <v>917</v>
      </c>
      <c r="B44" s="2645" t="s">
        <v>1198</v>
      </c>
      <c r="C44" s="2929" t="s">
        <v>908</v>
      </c>
      <c r="D44" s="799">
        <v>0</v>
      </c>
      <c r="E44" s="799">
        <v>0</v>
      </c>
      <c r="F44" s="799">
        <v>0</v>
      </c>
      <c r="G44" s="799">
        <v>0</v>
      </c>
      <c r="H44" s="799">
        <v>0</v>
      </c>
      <c r="I44" s="3138">
        <v>0</v>
      </c>
      <c r="J44" s="3138">
        <v>0</v>
      </c>
      <c r="K44" s="3138">
        <v>5</v>
      </c>
      <c r="L44" s="3138">
        <v>5</v>
      </c>
      <c r="M44" s="3138">
        <v>5</v>
      </c>
      <c r="N44" s="3138">
        <v>5</v>
      </c>
      <c r="O44" s="3138">
        <v>5</v>
      </c>
      <c r="P44" s="3138">
        <v>5</v>
      </c>
      <c r="Q44" s="3138">
        <v>5</v>
      </c>
      <c r="R44" s="594"/>
    </row>
    <row r="45" spans="1:18" ht="24.75" thickBot="1">
      <c r="A45" s="2643" t="s">
        <v>994</v>
      </c>
      <c r="B45" s="2644" t="s">
        <v>1203</v>
      </c>
      <c r="C45" s="2929" t="s">
        <v>908</v>
      </c>
      <c r="D45" s="799">
        <v>0</v>
      </c>
      <c r="E45" s="799">
        <v>0</v>
      </c>
      <c r="F45" s="799">
        <v>0</v>
      </c>
      <c r="G45" s="799">
        <v>0</v>
      </c>
      <c r="H45" s="799">
        <v>0</v>
      </c>
      <c r="I45" s="3138">
        <v>0</v>
      </c>
      <c r="J45" s="3138">
        <v>0</v>
      </c>
      <c r="K45" s="3138">
        <v>0</v>
      </c>
      <c r="L45" s="3138">
        <v>0</v>
      </c>
      <c r="M45" s="3138">
        <v>0</v>
      </c>
      <c r="N45" s="3138">
        <v>0</v>
      </c>
      <c r="O45" s="3138">
        <v>0</v>
      </c>
      <c r="P45" s="3138">
        <v>0</v>
      </c>
      <c r="Q45" s="3138">
        <v>0</v>
      </c>
      <c r="R45" s="594"/>
    </row>
    <row r="46" spans="1:18" ht="13.5" thickBot="1">
      <c r="A46" s="2643" t="s">
        <v>999</v>
      </c>
      <c r="B46" s="2646" t="s">
        <v>977</v>
      </c>
      <c r="C46" s="2929" t="s">
        <v>908</v>
      </c>
      <c r="D46" s="799">
        <v>0</v>
      </c>
      <c r="E46" s="799">
        <v>0</v>
      </c>
      <c r="F46" s="799">
        <v>0</v>
      </c>
      <c r="G46" s="799">
        <v>0</v>
      </c>
      <c r="H46" s="799">
        <v>0</v>
      </c>
      <c r="I46" s="3138">
        <v>0</v>
      </c>
      <c r="J46" s="3138">
        <v>0</v>
      </c>
      <c r="K46" s="3138">
        <v>0</v>
      </c>
      <c r="L46" s="3138">
        <v>0</v>
      </c>
      <c r="M46" s="3138">
        <v>0</v>
      </c>
      <c r="N46" s="3138">
        <v>0</v>
      </c>
      <c r="O46" s="3138">
        <v>0</v>
      </c>
      <c r="P46" s="3138">
        <v>0</v>
      </c>
      <c r="Q46" s="3138">
        <v>0</v>
      </c>
      <c r="R46" s="594"/>
    </row>
    <row r="47" spans="1:18" ht="24.75" thickBot="1">
      <c r="A47" s="2643" t="s">
        <v>1204</v>
      </c>
      <c r="B47" s="2644" t="s">
        <v>980</v>
      </c>
      <c r="C47" s="2929" t="s">
        <v>380</v>
      </c>
      <c r="D47" s="799">
        <v>0</v>
      </c>
      <c r="E47" s="799">
        <v>0</v>
      </c>
      <c r="F47" s="799">
        <v>0</v>
      </c>
      <c r="G47" s="799">
        <v>0</v>
      </c>
      <c r="H47" s="799">
        <v>0</v>
      </c>
      <c r="I47" s="799">
        <v>0</v>
      </c>
      <c r="J47" s="799">
        <v>0</v>
      </c>
      <c r="K47" s="799">
        <v>0</v>
      </c>
      <c r="L47" s="799">
        <v>0</v>
      </c>
      <c r="M47" s="799">
        <v>0</v>
      </c>
      <c r="N47" s="799">
        <v>0</v>
      </c>
      <c r="O47" s="799">
        <v>0</v>
      </c>
      <c r="P47" s="799">
        <v>0</v>
      </c>
      <c r="Q47" s="799">
        <v>0</v>
      </c>
      <c r="R47" s="594"/>
    </row>
    <row r="48" spans="1:18" s="788" customFormat="1" ht="21.75" customHeight="1" thickBot="1">
      <c r="A48" s="2647"/>
      <c r="B48" s="2648" t="s">
        <v>1206</v>
      </c>
      <c r="C48" s="2649"/>
      <c r="D48" s="2609">
        <f>SUM(D39:D47)</f>
        <v>0</v>
      </c>
      <c r="E48" s="2610">
        <f t="shared" ref="E48:Q48" si="3">SUM(E39:E47)</f>
        <v>0</v>
      </c>
      <c r="F48" s="2610">
        <f t="shared" si="3"/>
        <v>0</v>
      </c>
      <c r="G48" s="2610">
        <f t="shared" si="3"/>
        <v>0</v>
      </c>
      <c r="H48" s="2610">
        <f t="shared" si="3"/>
        <v>0</v>
      </c>
      <c r="I48" s="2610">
        <f t="shared" si="3"/>
        <v>0</v>
      </c>
      <c r="J48" s="2611">
        <f t="shared" si="3"/>
        <v>0</v>
      </c>
      <c r="K48" s="2624">
        <f t="shared" si="3"/>
        <v>21</v>
      </c>
      <c r="L48" s="2625">
        <f t="shared" si="3"/>
        <v>59</v>
      </c>
      <c r="M48" s="2625">
        <f t="shared" si="3"/>
        <v>21</v>
      </c>
      <c r="N48" s="2625">
        <f t="shared" si="3"/>
        <v>56</v>
      </c>
      <c r="O48" s="2625">
        <f t="shared" si="3"/>
        <v>21</v>
      </c>
      <c r="P48" s="2625">
        <f t="shared" si="3"/>
        <v>21</v>
      </c>
      <c r="Q48" s="2626">
        <f t="shared" si="3"/>
        <v>21</v>
      </c>
      <c r="R48" s="616"/>
    </row>
    <row r="49" spans="1:23" ht="13.5" thickBot="1">
      <c r="A49" s="2660"/>
      <c r="B49" s="2651" t="s">
        <v>914</v>
      </c>
      <c r="C49" s="2652"/>
      <c r="D49" s="2615"/>
      <c r="E49" s="2616"/>
      <c r="F49" s="2616"/>
      <c r="G49" s="2616"/>
      <c r="H49" s="2616"/>
      <c r="I49" s="2616"/>
      <c r="J49" s="2617"/>
      <c r="K49" s="2627">
        <f>K48-'12. Разходи'!Q86</f>
        <v>0</v>
      </c>
      <c r="L49" s="2628">
        <f>L48-'12. Разходи'!R86</f>
        <v>0</v>
      </c>
      <c r="M49" s="2628">
        <f>M48-'12. Разходи'!S86</f>
        <v>0</v>
      </c>
      <c r="N49" s="2628">
        <f>N48-'12. Разходи'!T86</f>
        <v>0</v>
      </c>
      <c r="O49" s="2628">
        <f>O48-'12. Разходи'!U86</f>
        <v>0</v>
      </c>
      <c r="P49" s="2628">
        <f>P48-'12. Разходи'!V86</f>
        <v>0</v>
      </c>
      <c r="Q49" s="2629">
        <f>Q48-'12. Разходи'!W86</f>
        <v>0</v>
      </c>
      <c r="R49" s="175"/>
    </row>
    <row r="50" spans="1:23">
      <c r="A50" s="173"/>
      <c r="B50" s="775"/>
      <c r="C50" s="174"/>
      <c r="D50" s="174"/>
      <c r="E50" s="174"/>
      <c r="F50" s="174"/>
      <c r="G50" s="174"/>
      <c r="H50" s="174"/>
      <c r="I50" s="174"/>
      <c r="J50" s="174"/>
      <c r="K50" s="175"/>
      <c r="L50" s="175"/>
      <c r="M50" s="175"/>
      <c r="N50" s="175"/>
      <c r="O50" s="175"/>
      <c r="P50" s="175"/>
      <c r="Q50" s="175"/>
      <c r="R50" s="175"/>
    </row>
    <row r="51" spans="1:23" s="789" customFormat="1">
      <c r="A51" s="163" t="str">
        <f>'7. Утайки от ПСОВ'!B37</f>
        <v>Дата: 27.06.2016г.</v>
      </c>
      <c r="B51" s="776"/>
      <c r="C51" s="162"/>
      <c r="D51" s="162"/>
      <c r="E51" s="162"/>
      <c r="F51" s="162"/>
      <c r="G51" s="162"/>
      <c r="H51" s="162"/>
      <c r="I51" s="162"/>
      <c r="J51" s="162"/>
      <c r="K51" s="162"/>
      <c r="L51" s="595"/>
      <c r="M51" s="595"/>
      <c r="N51" s="595"/>
      <c r="O51" s="595"/>
      <c r="P51" s="595"/>
      <c r="Q51" s="595"/>
      <c r="R51" s="595"/>
      <c r="S51" s="162"/>
    </row>
    <row r="52" spans="1:23" s="789" customFormat="1">
      <c r="A52" s="164"/>
      <c r="B52" s="777" t="str">
        <f>'7. Утайки от ПСОВ'!D38</f>
        <v>Главен счетоводител:</v>
      </c>
      <c r="C52" s="164" t="s">
        <v>4</v>
      </c>
      <c r="D52" s="164"/>
      <c r="E52" s="164"/>
      <c r="F52" s="164"/>
      <c r="G52" s="164"/>
      <c r="H52" s="164"/>
      <c r="I52" s="164"/>
      <c r="J52" s="164"/>
      <c r="K52" s="162"/>
      <c r="L52" s="595"/>
      <c r="M52" s="595"/>
      <c r="N52" s="595"/>
      <c r="O52" s="595"/>
      <c r="P52" s="595"/>
      <c r="Q52" s="595"/>
      <c r="R52" s="595"/>
    </row>
    <row r="53" spans="1:23" s="789" customFormat="1">
      <c r="A53" s="162"/>
      <c r="B53" s="778"/>
      <c r="C53" s="168" t="s">
        <v>5</v>
      </c>
      <c r="D53" s="168"/>
      <c r="E53" s="168"/>
      <c r="F53" s="168"/>
      <c r="G53" s="168"/>
      <c r="H53" s="168"/>
      <c r="I53" s="168"/>
      <c r="J53" s="168"/>
      <c r="L53" s="199"/>
      <c r="M53" s="199"/>
      <c r="N53" s="199"/>
      <c r="O53" s="199"/>
      <c r="P53" s="199"/>
      <c r="Q53" s="199"/>
      <c r="R53" s="199"/>
    </row>
    <row r="54" spans="1:23" s="789" customFormat="1">
      <c r="A54" s="162"/>
      <c r="B54" s="778"/>
      <c r="C54" s="167"/>
      <c r="D54" s="167"/>
      <c r="E54" s="167"/>
      <c r="F54" s="167"/>
      <c r="G54" s="167"/>
      <c r="H54" s="167"/>
      <c r="I54" s="167"/>
      <c r="J54" s="167"/>
      <c r="K54" s="168"/>
      <c r="L54" s="596"/>
      <c r="M54" s="596"/>
      <c r="N54" s="596"/>
      <c r="O54" s="596"/>
      <c r="P54" s="596"/>
      <c r="Q54" s="596"/>
      <c r="R54" s="596"/>
    </row>
    <row r="55" spans="1:23" s="789" customFormat="1">
      <c r="A55" s="162"/>
      <c r="B55" s="778"/>
      <c r="C55" s="167"/>
      <c r="D55" s="167"/>
      <c r="E55" s="167"/>
      <c r="F55" s="167"/>
      <c r="G55" s="167"/>
      <c r="H55" s="167"/>
      <c r="I55" s="167"/>
      <c r="J55" s="167"/>
      <c r="K55" s="168"/>
      <c r="L55" s="596"/>
      <c r="M55" s="596"/>
      <c r="N55" s="596"/>
      <c r="O55" s="596"/>
      <c r="P55" s="596"/>
      <c r="Q55" s="596"/>
      <c r="R55" s="596"/>
    </row>
    <row r="56" spans="1:23" s="789" customFormat="1">
      <c r="A56" s="162"/>
      <c r="B56" s="777" t="str">
        <f>'7. Утайки от ПСОВ'!E42</f>
        <v>Управител:</v>
      </c>
      <c r="C56" s="164" t="s">
        <v>4</v>
      </c>
      <c r="D56" s="164"/>
      <c r="E56" s="164"/>
      <c r="F56" s="164"/>
      <c r="G56" s="164"/>
      <c r="H56" s="164"/>
      <c r="I56" s="164"/>
      <c r="J56" s="164"/>
      <c r="K56" s="162"/>
      <c r="L56" s="595"/>
      <c r="M56" s="595"/>
      <c r="N56" s="595"/>
      <c r="O56" s="595"/>
      <c r="P56" s="595"/>
      <c r="Q56" s="595"/>
      <c r="R56" s="595"/>
    </row>
    <row r="57" spans="1:23" s="789" customFormat="1">
      <c r="A57" s="162"/>
      <c r="B57" s="779"/>
      <c r="C57" s="168" t="s">
        <v>6</v>
      </c>
      <c r="D57" s="168"/>
      <c r="E57" s="168"/>
      <c r="F57" s="168"/>
      <c r="G57" s="168"/>
      <c r="H57" s="168"/>
      <c r="I57" s="168"/>
      <c r="J57" s="168"/>
      <c r="L57" s="199"/>
      <c r="M57" s="199"/>
      <c r="N57" s="199"/>
      <c r="O57" s="199"/>
      <c r="P57" s="199"/>
      <c r="Q57" s="199"/>
      <c r="R57" s="199"/>
    </row>
    <row r="58" spans="1:23" s="789" customFormat="1">
      <c r="A58" s="162"/>
      <c r="B58" s="776"/>
      <c r="C58" s="162"/>
      <c r="D58" s="162"/>
      <c r="E58" s="162"/>
      <c r="F58" s="162"/>
      <c r="G58" s="162"/>
      <c r="H58" s="162"/>
      <c r="I58" s="162"/>
      <c r="J58" s="162"/>
      <c r="K58" s="166"/>
      <c r="L58" s="597"/>
      <c r="M58" s="597"/>
      <c r="N58" s="597"/>
      <c r="O58" s="597"/>
      <c r="P58" s="597"/>
      <c r="Q58" s="597"/>
      <c r="R58" s="597"/>
    </row>
    <row r="59" spans="1:23" s="221" customFormat="1" ht="12">
      <c r="A59" s="3425"/>
      <c r="B59" s="3425"/>
      <c r="C59" s="3425"/>
      <c r="D59" s="661"/>
      <c r="E59" s="661"/>
      <c r="F59" s="661"/>
      <c r="G59" s="661"/>
      <c r="H59" s="661"/>
      <c r="I59" s="661"/>
      <c r="J59" s="661"/>
      <c r="K59" s="231"/>
      <c r="L59" s="231"/>
      <c r="M59" s="231"/>
      <c r="N59" s="231"/>
      <c r="O59" s="231"/>
      <c r="P59" s="231"/>
      <c r="Q59" s="231"/>
      <c r="R59" s="231"/>
      <c r="S59" s="231"/>
    </row>
    <row r="60" spans="1:23" s="236" customFormat="1" ht="12">
      <c r="A60" s="3425" t="s">
        <v>247</v>
      </c>
      <c r="B60" s="3425"/>
      <c r="C60" s="3425"/>
      <c r="D60" s="3425"/>
      <c r="E60" s="662"/>
      <c r="F60" s="662"/>
      <c r="G60" s="662"/>
      <c r="H60" s="662"/>
      <c r="I60" s="662"/>
      <c r="J60" s="662"/>
      <c r="K60" s="231"/>
      <c r="L60" s="231"/>
      <c r="M60" s="231"/>
      <c r="N60" s="231"/>
      <c r="O60" s="231"/>
      <c r="P60" s="231"/>
      <c r="Q60" s="231"/>
      <c r="R60" s="231"/>
      <c r="S60" s="231"/>
      <c r="T60" s="235"/>
      <c r="U60" s="235"/>
      <c r="W60" s="237"/>
    </row>
    <row r="61" spans="1:23">
      <c r="A61" s="3426" t="s">
        <v>248</v>
      </c>
      <c r="B61" s="3426"/>
      <c r="C61" s="3426"/>
      <c r="D61" s="3426"/>
    </row>
    <row r="62" spans="1:23">
      <c r="A62" s="800" t="s">
        <v>1207</v>
      </c>
    </row>
    <row r="63" spans="1:23" ht="30.75" customHeight="1">
      <c r="A63" s="3368" t="s">
        <v>1553</v>
      </c>
      <c r="B63" s="3368"/>
      <c r="C63" s="3368"/>
      <c r="D63" s="3368"/>
      <c r="E63" s="3368"/>
      <c r="F63" s="3368"/>
      <c r="G63" s="3368"/>
      <c r="H63" s="3368"/>
      <c r="I63" s="3368"/>
      <c r="J63" s="3368"/>
      <c r="K63" s="3368"/>
      <c r="L63" s="3368"/>
      <c r="M63" s="3368"/>
      <c r="N63" s="3368"/>
      <c r="O63" s="3368"/>
      <c r="P63" s="3368"/>
      <c r="Q63" s="3368"/>
      <c r="R63" s="3061"/>
      <c r="S63" s="3061"/>
      <c r="T63" s="3061"/>
      <c r="U63" s="3061"/>
    </row>
  </sheetData>
  <sheetProtection password="C6DB" sheet="1" objects="1" scenarios="1" formatCells="0" formatColumns="0" formatRows="0"/>
  <mergeCells count="13">
    <mergeCell ref="A63:Q63"/>
    <mergeCell ref="A2:Q2"/>
    <mergeCell ref="A3:Q3"/>
    <mergeCell ref="A4:Q4"/>
    <mergeCell ref="K6:Q6"/>
    <mergeCell ref="A60:D60"/>
    <mergeCell ref="A61:D61"/>
    <mergeCell ref="A59:C59"/>
    <mergeCell ref="A5:K5"/>
    <mergeCell ref="D6:J6"/>
    <mergeCell ref="A6:A7"/>
    <mergeCell ref="B6:B7"/>
    <mergeCell ref="C6:C7"/>
  </mergeCells>
  <printOptions horizontalCentered="1"/>
  <pageMargins left="0.70866141732283472" right="0.70866141732283472" top="0.94488188976377963" bottom="0.74803149606299213" header="0.31496062992125984" footer="0.31496062992125984"/>
  <pageSetup paperSize="9" scale="65" orientation="landscape" r:id="rId1"/>
  <headerFooter>
    <oddFooter>&amp;A&amp;RPage &amp;P</oddFooter>
  </headerFooter>
  <rowBreaks count="1" manualBreakCount="1">
    <brk id="37" max="16" man="1"/>
  </rowBreaks>
  <colBreaks count="1" manualBreakCount="1">
    <brk id="17" max="1048575" man="1"/>
  </col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BCF6C6"/>
  </sheetPr>
  <dimension ref="A1:BB110"/>
  <sheetViews>
    <sheetView view="pageBreakPreview" zoomScaleNormal="100" zoomScaleSheetLayoutView="100" workbookViewId="0">
      <pane xSplit="4" ySplit="9" topLeftCell="E10" activePane="bottomRight" state="frozen"/>
      <selection pane="topRight" activeCell="E1" sqref="E1"/>
      <selection pane="bottomLeft" activeCell="A10" sqref="A10"/>
      <selection pane="bottomRight" activeCell="E29" sqref="E29:K29"/>
    </sheetView>
  </sheetViews>
  <sheetFormatPr defaultRowHeight="12.75"/>
  <cols>
    <col min="1" max="1" width="4.42578125" style="178" customWidth="1"/>
    <col min="2" max="2" width="9.5703125" style="178" customWidth="1"/>
    <col min="3" max="3" width="8.7109375" style="172" customWidth="1"/>
    <col min="4" max="4" width="35.140625" style="181" customWidth="1"/>
    <col min="5" max="6" width="9.85546875" style="844" customWidth="1"/>
    <col min="7" max="11" width="9.85546875" style="182" customWidth="1"/>
    <col min="12" max="12" width="10.28515625" style="178" customWidth="1"/>
    <col min="13" max="14" width="9.140625" style="837" customWidth="1"/>
    <col min="15" max="19" width="9.140625" style="178" customWidth="1"/>
    <col min="20" max="21" width="9.140625" style="837" customWidth="1"/>
    <col min="22" max="26" width="9.140625" style="178" customWidth="1"/>
    <col min="27" max="27" width="7.85546875" style="178" customWidth="1"/>
    <col min="28" max="28" width="56.42578125" style="181" customWidth="1"/>
    <col min="29" max="29" width="47.5703125" style="181" customWidth="1"/>
    <col min="30" max="30" width="7.5703125" style="538" customWidth="1"/>
    <col min="31" max="31" width="9" style="538" customWidth="1"/>
    <col min="32" max="36" width="9" style="536" customWidth="1"/>
    <col min="37" max="37" width="9" style="183" customWidth="1"/>
    <col min="38" max="38" width="33.7109375" style="179" customWidth="1"/>
    <col min="39" max="16384" width="9.140625" style="183"/>
  </cols>
  <sheetData>
    <row r="1" spans="1:54" ht="13.5">
      <c r="E1" s="837"/>
      <c r="F1" s="837"/>
      <c r="G1" s="178"/>
      <c r="H1" s="178"/>
      <c r="I1" s="178"/>
      <c r="J1" s="178"/>
      <c r="K1" s="178"/>
      <c r="N1" s="664"/>
      <c r="O1" s="516"/>
      <c r="Q1" s="480"/>
      <c r="R1" s="480"/>
      <c r="S1" s="480"/>
      <c r="AC1" s="241"/>
      <c r="AD1" s="1611"/>
      <c r="AF1" s="178"/>
      <c r="AG1" s="178"/>
      <c r="AH1" s="178"/>
      <c r="AI1" s="178"/>
      <c r="AJ1" s="1611" t="s">
        <v>249</v>
      </c>
      <c r="AK1" s="172"/>
      <c r="AM1" s="172"/>
      <c r="AN1" s="172"/>
      <c r="AO1" s="172"/>
      <c r="AP1" s="172"/>
      <c r="AQ1" s="172"/>
      <c r="AR1" s="172"/>
      <c r="AS1" s="172"/>
      <c r="AT1" s="172"/>
      <c r="AU1" s="172"/>
      <c r="AV1" s="172"/>
      <c r="AW1" s="172"/>
      <c r="AX1" s="172"/>
      <c r="AY1" s="172"/>
      <c r="AZ1" s="172"/>
      <c r="BA1" s="172"/>
      <c r="BB1" s="172"/>
    </row>
    <row r="2" spans="1:54" ht="18.75" customHeight="1">
      <c r="A2" s="3349" t="s">
        <v>876</v>
      </c>
      <c r="B2" s="3349"/>
      <c r="C2" s="3349"/>
      <c r="D2" s="3349"/>
      <c r="E2" s="3349"/>
      <c r="F2" s="3349"/>
      <c r="G2" s="3349"/>
      <c r="H2" s="3349"/>
      <c r="I2" s="3349"/>
      <c r="J2" s="3349"/>
      <c r="K2" s="3349"/>
      <c r="L2" s="3349"/>
      <c r="M2" s="3349"/>
      <c r="N2" s="3349"/>
      <c r="O2" s="3349"/>
      <c r="P2" s="3349"/>
      <c r="Q2" s="3349"/>
      <c r="R2" s="3349"/>
      <c r="S2" s="3349"/>
      <c r="T2" s="3349"/>
      <c r="U2" s="3349"/>
      <c r="V2" s="3349"/>
      <c r="W2" s="3349"/>
      <c r="X2" s="3349"/>
      <c r="Y2" s="3349"/>
      <c r="Z2" s="3349"/>
      <c r="AA2" s="3349"/>
      <c r="AB2" s="2203"/>
      <c r="AC2" s="2203"/>
      <c r="AD2" s="1611"/>
      <c r="AF2" s="178"/>
      <c r="AG2" s="178"/>
      <c r="AH2" s="178"/>
      <c r="AI2" s="178"/>
      <c r="AJ2" s="1611"/>
      <c r="AK2" s="172"/>
      <c r="AM2" s="172"/>
      <c r="AN2" s="172"/>
      <c r="AO2" s="172"/>
      <c r="AP2" s="172"/>
      <c r="AQ2" s="172"/>
      <c r="AR2" s="172"/>
      <c r="AS2" s="172"/>
      <c r="AT2" s="172"/>
      <c r="AU2" s="172"/>
      <c r="AV2" s="172"/>
      <c r="AW2" s="172"/>
      <c r="AX2" s="172"/>
      <c r="AY2" s="172"/>
      <c r="AZ2" s="172"/>
      <c r="BA2" s="172"/>
      <c r="BB2" s="172"/>
    </row>
    <row r="3" spans="1:54" ht="18.75" customHeight="1">
      <c r="A3" s="3349" t="s">
        <v>1414</v>
      </c>
      <c r="B3" s="3349"/>
      <c r="C3" s="3349"/>
      <c r="D3" s="3349"/>
      <c r="E3" s="3349"/>
      <c r="F3" s="3349"/>
      <c r="G3" s="3349"/>
      <c r="H3" s="3349"/>
      <c r="I3" s="3349"/>
      <c r="J3" s="3349"/>
      <c r="K3" s="3349"/>
      <c r="L3" s="3349"/>
      <c r="M3" s="3349"/>
      <c r="N3" s="3349"/>
      <c r="O3" s="3349"/>
      <c r="P3" s="3349"/>
      <c r="Q3" s="3349"/>
      <c r="R3" s="3349"/>
      <c r="S3" s="3349"/>
      <c r="T3" s="3349"/>
      <c r="U3" s="3349"/>
      <c r="V3" s="3349"/>
      <c r="W3" s="3349"/>
      <c r="X3" s="3349"/>
      <c r="Y3" s="3349"/>
      <c r="Z3" s="3349"/>
      <c r="AA3" s="3349"/>
      <c r="AB3" s="2203"/>
      <c r="AC3" s="2203"/>
      <c r="AD3" s="178"/>
      <c r="AE3" s="178"/>
      <c r="AF3" s="178"/>
      <c r="AG3" s="178"/>
      <c r="AH3" s="178"/>
      <c r="AI3" s="178"/>
      <c r="AJ3" s="178"/>
      <c r="AK3" s="172"/>
      <c r="AL3" s="1789"/>
      <c r="AM3" s="172"/>
      <c r="AN3" s="172"/>
      <c r="AO3" s="172"/>
      <c r="AP3" s="172"/>
      <c r="AQ3" s="172"/>
      <c r="AR3" s="172"/>
      <c r="AS3" s="172"/>
      <c r="AT3" s="172"/>
      <c r="AU3" s="172"/>
      <c r="AV3" s="172"/>
      <c r="AW3" s="172"/>
      <c r="AX3" s="172"/>
      <c r="AY3" s="172"/>
      <c r="AZ3" s="172"/>
      <c r="BA3" s="172"/>
      <c r="BB3" s="172"/>
    </row>
    <row r="4" spans="1:54" ht="18.75">
      <c r="A4" s="3439" t="str">
        <f>'1. Анкетна карта'!A3:J3</f>
        <v>на "Водоснабдяване и канализация" ООД , гр. Враца</v>
      </c>
      <c r="B4" s="3439"/>
      <c r="C4" s="3439"/>
      <c r="D4" s="3439"/>
      <c r="E4" s="3439"/>
      <c r="F4" s="3439"/>
      <c r="G4" s="3439"/>
      <c r="H4" s="3439"/>
      <c r="I4" s="3439"/>
      <c r="J4" s="3439"/>
      <c r="K4" s="3439"/>
      <c r="L4" s="3439"/>
      <c r="M4" s="3439"/>
      <c r="N4" s="3439"/>
      <c r="O4" s="3439"/>
      <c r="P4" s="3439"/>
      <c r="Q4" s="3439"/>
      <c r="R4" s="3439"/>
      <c r="S4" s="3439"/>
      <c r="T4" s="3439"/>
      <c r="U4" s="3439"/>
      <c r="V4" s="3439"/>
      <c r="W4" s="3439"/>
      <c r="X4" s="3439"/>
      <c r="Y4" s="3439"/>
      <c r="Z4" s="3439"/>
      <c r="AA4" s="3439"/>
      <c r="AB4" s="2204"/>
      <c r="AC4" s="2204"/>
      <c r="AD4" s="535"/>
      <c r="AE4" s="535"/>
      <c r="AF4" s="535"/>
      <c r="AG4" s="535"/>
      <c r="AH4" s="535"/>
      <c r="AI4" s="535"/>
      <c r="AJ4" s="535"/>
      <c r="AK4" s="180"/>
      <c r="AL4" s="1790"/>
      <c r="AM4" s="180"/>
      <c r="AN4" s="180"/>
      <c r="AO4" s="180"/>
      <c r="AP4" s="180"/>
      <c r="AQ4" s="180"/>
      <c r="AR4" s="180"/>
      <c r="AS4" s="180"/>
      <c r="AT4" s="180"/>
      <c r="AU4" s="180"/>
      <c r="AV4" s="180"/>
      <c r="AW4" s="180"/>
      <c r="AX4" s="180"/>
      <c r="AY4" s="180"/>
      <c r="AZ4" s="180"/>
      <c r="BA4" s="180"/>
      <c r="BB4" s="180"/>
    </row>
    <row r="5" spans="1:54" ht="18.75">
      <c r="A5" s="3439" t="str">
        <f>'1. Анкетна карта'!A4:J4</f>
        <v>ЕИК по БУЛСТАТ: 816090199</v>
      </c>
      <c r="B5" s="3439"/>
      <c r="C5" s="3439"/>
      <c r="D5" s="3439"/>
      <c r="E5" s="3439"/>
      <c r="F5" s="3439"/>
      <c r="G5" s="3439"/>
      <c r="H5" s="3439"/>
      <c r="I5" s="3439"/>
      <c r="J5" s="3439"/>
      <c r="K5" s="3439"/>
      <c r="L5" s="3439"/>
      <c r="M5" s="3439"/>
      <c r="N5" s="3439"/>
      <c r="O5" s="3439"/>
      <c r="P5" s="3439"/>
      <c r="Q5" s="3439"/>
      <c r="R5" s="3439"/>
      <c r="S5" s="3439"/>
      <c r="T5" s="3439"/>
      <c r="U5" s="3439"/>
      <c r="V5" s="3439"/>
      <c r="W5" s="3439"/>
      <c r="X5" s="3439"/>
      <c r="Y5" s="3439"/>
      <c r="Z5" s="3439"/>
      <c r="AA5" s="3439"/>
      <c r="AB5" s="2204"/>
      <c r="AC5" s="2204"/>
      <c r="AD5" s="535"/>
      <c r="AE5" s="535"/>
      <c r="AF5" s="535"/>
      <c r="AG5" s="535"/>
      <c r="AH5" s="535"/>
      <c r="AI5" s="535"/>
      <c r="AJ5" s="535"/>
      <c r="AK5" s="180"/>
      <c r="AL5" s="1790"/>
      <c r="AM5" s="180"/>
      <c r="AN5" s="180"/>
      <c r="AO5" s="180"/>
      <c r="AP5" s="180"/>
      <c r="AQ5" s="180"/>
      <c r="AR5" s="180"/>
      <c r="AS5" s="180"/>
      <c r="AT5" s="180"/>
      <c r="AU5" s="180"/>
      <c r="AV5" s="180"/>
      <c r="AW5" s="180"/>
      <c r="AX5" s="180"/>
      <c r="AY5" s="180"/>
      <c r="AZ5" s="180"/>
      <c r="BA5" s="180"/>
      <c r="BB5" s="180"/>
    </row>
    <row r="6" spans="1:54" ht="13.5">
      <c r="E6" s="837"/>
      <c r="F6" s="837"/>
      <c r="G6" s="178"/>
      <c r="H6" s="178"/>
      <c r="I6" s="178"/>
      <c r="J6" s="178"/>
      <c r="K6" s="178"/>
      <c r="N6" s="664"/>
      <c r="O6" s="516"/>
      <c r="Q6" s="480"/>
      <c r="R6" s="480"/>
      <c r="S6" s="480"/>
      <c r="AB6" s="3447"/>
      <c r="AC6" s="3447"/>
      <c r="AD6" s="536"/>
      <c r="AE6" s="536"/>
    </row>
    <row r="7" spans="1:54" ht="13.5" thickBot="1">
      <c r="A7" s="3454"/>
      <c r="B7" s="3454"/>
      <c r="C7" s="3454"/>
      <c r="D7" s="3454"/>
      <c r="E7" s="3454"/>
      <c r="F7" s="3454"/>
      <c r="G7" s="3454"/>
      <c r="H7" s="3454"/>
      <c r="I7" s="3454"/>
      <c r="J7" s="3454"/>
      <c r="K7" s="3454"/>
      <c r="L7" s="3454"/>
      <c r="M7" s="3454"/>
      <c r="N7" s="3454"/>
      <c r="O7" s="3454"/>
      <c r="P7" s="3454"/>
      <c r="Q7" s="3454"/>
      <c r="R7" s="3454"/>
      <c r="S7" s="3454"/>
      <c r="T7" s="3454"/>
      <c r="U7" s="3454"/>
      <c r="V7" s="3454"/>
      <c r="W7" s="3454"/>
      <c r="X7" s="3454"/>
      <c r="Y7" s="3454"/>
      <c r="Z7" s="3454"/>
      <c r="AA7" s="3454"/>
      <c r="AB7" s="3454"/>
      <c r="AC7" s="3454"/>
      <c r="AD7" s="536"/>
      <c r="AE7" s="536"/>
      <c r="AL7" s="1791"/>
    </row>
    <row r="8" spans="1:54" s="185" customFormat="1" ht="24.75" customHeight="1" thickBot="1">
      <c r="A8" s="3410" t="s">
        <v>264</v>
      </c>
      <c r="B8" s="3442" t="s">
        <v>517</v>
      </c>
      <c r="C8" s="3442" t="s">
        <v>1490</v>
      </c>
      <c r="D8" s="3442" t="s">
        <v>265</v>
      </c>
      <c r="E8" s="3448" t="s">
        <v>482</v>
      </c>
      <c r="F8" s="3449"/>
      <c r="G8" s="3449"/>
      <c r="H8" s="3449"/>
      <c r="I8" s="3449"/>
      <c r="J8" s="3449"/>
      <c r="K8" s="3450"/>
      <c r="L8" s="3442" t="s">
        <v>1209</v>
      </c>
      <c r="M8" s="3451" t="s">
        <v>266</v>
      </c>
      <c r="N8" s="3452"/>
      <c r="O8" s="3452"/>
      <c r="P8" s="3452"/>
      <c r="Q8" s="3452"/>
      <c r="R8" s="3452"/>
      <c r="S8" s="3453"/>
      <c r="T8" s="3451" t="s">
        <v>267</v>
      </c>
      <c r="U8" s="3452"/>
      <c r="V8" s="3452"/>
      <c r="W8" s="3452"/>
      <c r="X8" s="3452"/>
      <c r="Y8" s="3452"/>
      <c r="Z8" s="3453"/>
      <c r="AA8" s="3455" t="s">
        <v>1208</v>
      </c>
      <c r="AB8" s="3437" t="s">
        <v>1492</v>
      </c>
      <c r="AC8" s="3437" t="s">
        <v>1491</v>
      </c>
      <c r="AD8" s="3444" t="s">
        <v>907</v>
      </c>
      <c r="AE8" s="3445"/>
      <c r="AF8" s="3445"/>
      <c r="AG8" s="3445"/>
      <c r="AH8" s="3445"/>
      <c r="AI8" s="3445"/>
      <c r="AJ8" s="3445"/>
      <c r="AK8" s="3446"/>
      <c r="AL8" s="3440" t="s">
        <v>516</v>
      </c>
    </row>
    <row r="9" spans="1:54" ht="36.75" customHeight="1" thickBot="1">
      <c r="A9" s="3411"/>
      <c r="B9" s="3443"/>
      <c r="C9" s="3443"/>
      <c r="D9" s="3443"/>
      <c r="E9" s="858" t="str">
        <f>'Приложение '!$G12</f>
        <v>2015 г.</v>
      </c>
      <c r="F9" s="2197" t="str">
        <f>'Приложение '!$G13</f>
        <v>2016 г.</v>
      </c>
      <c r="G9" s="2196" t="str">
        <f>'Приложение '!$G14</f>
        <v>2017 г.</v>
      </c>
      <c r="H9" s="859" t="str">
        <f>'Приложение '!$G15</f>
        <v>2018 г.</v>
      </c>
      <c r="I9" s="859" t="str">
        <f>'Приложение '!$G16</f>
        <v>2019 г.</v>
      </c>
      <c r="J9" s="859" t="str">
        <f>'Приложение '!$G17</f>
        <v>2020 г.</v>
      </c>
      <c r="K9" s="860" t="str">
        <f>'Приложение '!$G18</f>
        <v>2021 г.</v>
      </c>
      <c r="L9" s="3443"/>
      <c r="M9" s="2198" t="str">
        <f>E9</f>
        <v>2015 г.</v>
      </c>
      <c r="N9" s="862" t="str">
        <f t="shared" ref="N9:S9" si="0">F9</f>
        <v>2016 г.</v>
      </c>
      <c r="O9" s="863" t="str">
        <f t="shared" si="0"/>
        <v>2017 г.</v>
      </c>
      <c r="P9" s="864" t="str">
        <f t="shared" si="0"/>
        <v>2018 г.</v>
      </c>
      <c r="Q9" s="864" t="str">
        <f t="shared" si="0"/>
        <v>2019 г.</v>
      </c>
      <c r="R9" s="864" t="str">
        <f t="shared" si="0"/>
        <v>2020 г.</v>
      </c>
      <c r="S9" s="865" t="str">
        <f t="shared" si="0"/>
        <v>2021 г.</v>
      </c>
      <c r="T9" s="861" t="str">
        <f>M9</f>
        <v>2015 г.</v>
      </c>
      <c r="U9" s="862" t="str">
        <f t="shared" ref="U9:Z9" si="1">N9</f>
        <v>2016 г.</v>
      </c>
      <c r="V9" s="863" t="str">
        <f t="shared" si="1"/>
        <v>2017 г.</v>
      </c>
      <c r="W9" s="864" t="str">
        <f t="shared" si="1"/>
        <v>2018 г.</v>
      </c>
      <c r="X9" s="864" t="str">
        <f t="shared" si="1"/>
        <v>2019 г.</v>
      </c>
      <c r="Y9" s="864" t="str">
        <f t="shared" si="1"/>
        <v>2020 г.</v>
      </c>
      <c r="Z9" s="865" t="str">
        <f t="shared" si="1"/>
        <v>2021 г.</v>
      </c>
      <c r="AA9" s="3456"/>
      <c r="AB9" s="3438"/>
      <c r="AC9" s="3438"/>
      <c r="AD9" s="2325" t="s">
        <v>1015</v>
      </c>
      <c r="AE9" s="2321" t="str">
        <f t="shared" ref="AE9:AK9" si="2">E9</f>
        <v>2015 г.</v>
      </c>
      <c r="AF9" s="2199" t="str">
        <f t="shared" si="2"/>
        <v>2016 г.</v>
      </c>
      <c r="AG9" s="2200" t="str">
        <f t="shared" si="2"/>
        <v>2017 г.</v>
      </c>
      <c r="AH9" s="2200" t="str">
        <f t="shared" si="2"/>
        <v>2018 г.</v>
      </c>
      <c r="AI9" s="2200" t="str">
        <f t="shared" si="2"/>
        <v>2019 г.</v>
      </c>
      <c r="AJ9" s="2200" t="str">
        <f t="shared" si="2"/>
        <v>2020 г.</v>
      </c>
      <c r="AK9" s="2201" t="str">
        <f t="shared" si="2"/>
        <v>2021 г.</v>
      </c>
      <c r="AL9" s="3441"/>
    </row>
    <row r="10" spans="1:54" ht="18.75" customHeight="1" thickBot="1">
      <c r="A10" s="2301">
        <v>1.1000000000000001</v>
      </c>
      <c r="B10" s="2301"/>
      <c r="C10" s="2302"/>
      <c r="D10" s="2303" t="s">
        <v>519</v>
      </c>
      <c r="E10" s="2304">
        <f>SUM(E11:E34)</f>
        <v>1696</v>
      </c>
      <c r="F10" s="2305">
        <f t="shared" ref="F10:Z10" si="3">SUM(F11:F34)</f>
        <v>3128</v>
      </c>
      <c r="G10" s="2306">
        <f t="shared" si="3"/>
        <v>949</v>
      </c>
      <c r="H10" s="2307">
        <f t="shared" si="3"/>
        <v>914</v>
      </c>
      <c r="I10" s="2307">
        <f t="shared" si="3"/>
        <v>839</v>
      </c>
      <c r="J10" s="2307">
        <f t="shared" si="3"/>
        <v>789</v>
      </c>
      <c r="K10" s="2308">
        <f t="shared" si="3"/>
        <v>744</v>
      </c>
      <c r="L10" s="2309">
        <f t="shared" si="3"/>
        <v>4235</v>
      </c>
      <c r="M10" s="2304">
        <f t="shared" si="3"/>
        <v>1696</v>
      </c>
      <c r="N10" s="2305">
        <f t="shared" si="3"/>
        <v>3128</v>
      </c>
      <c r="O10" s="2306">
        <f t="shared" si="3"/>
        <v>949</v>
      </c>
      <c r="P10" s="2307">
        <f t="shared" si="3"/>
        <v>914</v>
      </c>
      <c r="Q10" s="2307">
        <f t="shared" si="3"/>
        <v>839</v>
      </c>
      <c r="R10" s="2307">
        <f t="shared" si="3"/>
        <v>789</v>
      </c>
      <c r="S10" s="2310">
        <f t="shared" si="3"/>
        <v>744</v>
      </c>
      <c r="T10" s="2304">
        <f t="shared" si="3"/>
        <v>0</v>
      </c>
      <c r="U10" s="2305">
        <f t="shared" si="3"/>
        <v>0</v>
      </c>
      <c r="V10" s="2306">
        <f t="shared" si="3"/>
        <v>0</v>
      </c>
      <c r="W10" s="2307">
        <f t="shared" si="3"/>
        <v>0</v>
      </c>
      <c r="X10" s="2307">
        <f t="shared" si="3"/>
        <v>0</v>
      </c>
      <c r="Y10" s="2307">
        <f t="shared" si="3"/>
        <v>0</v>
      </c>
      <c r="Z10" s="2308">
        <f t="shared" si="3"/>
        <v>0</v>
      </c>
      <c r="AA10" s="2311">
        <f t="shared" ref="AA10:AA67" si="4">L10-SUM(O10:S10)-SUM(V10:Z10)</f>
        <v>0</v>
      </c>
      <c r="AB10" s="2312"/>
      <c r="AC10" s="2313"/>
      <c r="AD10" s="2314"/>
      <c r="AE10" s="2322"/>
      <c r="AF10" s="2315"/>
      <c r="AG10" s="2316"/>
      <c r="AH10" s="2316"/>
      <c r="AI10" s="2316"/>
      <c r="AJ10" s="2316"/>
      <c r="AK10" s="2317"/>
      <c r="AL10" s="2318"/>
    </row>
    <row r="11" spans="1:54" ht="21.75" customHeight="1">
      <c r="A11" s="2283"/>
      <c r="B11" s="2284">
        <v>2040201</v>
      </c>
      <c r="C11" s="2285">
        <v>0.02</v>
      </c>
      <c r="D11" s="2286" t="s">
        <v>1007</v>
      </c>
      <c r="E11" s="2287">
        <v>0</v>
      </c>
      <c r="F11" s="2287">
        <v>0</v>
      </c>
      <c r="G11" s="2287">
        <v>0</v>
      </c>
      <c r="H11" s="2287">
        <v>0</v>
      </c>
      <c r="I11" s="2287">
        <v>0</v>
      </c>
      <c r="J11" s="2287">
        <v>0</v>
      </c>
      <c r="K11" s="2287">
        <v>0</v>
      </c>
      <c r="L11" s="2291">
        <f>SUM(G11:K11)</f>
        <v>0</v>
      </c>
      <c r="M11" s="2292">
        <f>E11-T11</f>
        <v>0</v>
      </c>
      <c r="N11" s="2293">
        <f t="shared" ref="N11:S11" si="5">F11-U11</f>
        <v>0</v>
      </c>
      <c r="O11" s="2294">
        <f t="shared" si="5"/>
        <v>0</v>
      </c>
      <c r="P11" s="2295">
        <f t="shared" si="5"/>
        <v>0</v>
      </c>
      <c r="Q11" s="2295">
        <f t="shared" si="5"/>
        <v>0</v>
      </c>
      <c r="R11" s="2295">
        <f t="shared" si="5"/>
        <v>0</v>
      </c>
      <c r="S11" s="2296">
        <f t="shared" si="5"/>
        <v>0</v>
      </c>
      <c r="T11" s="2287">
        <v>0</v>
      </c>
      <c r="U11" s="2287">
        <v>0</v>
      </c>
      <c r="V11" s="2287">
        <v>0</v>
      </c>
      <c r="W11" s="2287">
        <v>0</v>
      </c>
      <c r="X11" s="2287">
        <v>0</v>
      </c>
      <c r="Y11" s="2287">
        <v>0</v>
      </c>
      <c r="Z11" s="2290">
        <v>0</v>
      </c>
      <c r="AA11" s="2297">
        <f>L11-SUM(O11:S11)-SUM(V11:Z11)</f>
        <v>0</v>
      </c>
      <c r="AB11" s="2298"/>
      <c r="AC11" s="2299"/>
      <c r="AD11" s="2319" t="s">
        <v>908</v>
      </c>
      <c r="AE11" s="2289"/>
      <c r="AF11" s="2288"/>
      <c r="AG11" s="2289"/>
      <c r="AH11" s="2290"/>
      <c r="AI11" s="2290"/>
      <c r="AJ11" s="2290"/>
      <c r="AK11" s="2288"/>
      <c r="AL11" s="2300" t="s">
        <v>520</v>
      </c>
    </row>
    <row r="12" spans="1:54" ht="21.75" customHeight="1">
      <c r="A12" s="1753"/>
      <c r="B12" s="802">
        <v>2040202</v>
      </c>
      <c r="C12" s="803">
        <v>0.02</v>
      </c>
      <c r="D12" s="2233" t="s">
        <v>1010</v>
      </c>
      <c r="E12" s="2287">
        <v>0</v>
      </c>
      <c r="F12" s="2287">
        <v>0</v>
      </c>
      <c r="G12" s="2287">
        <v>0</v>
      </c>
      <c r="H12" s="2287">
        <v>0</v>
      </c>
      <c r="I12" s="2287">
        <v>0</v>
      </c>
      <c r="J12" s="2287">
        <v>0</v>
      </c>
      <c r="K12" s="2287">
        <v>0</v>
      </c>
      <c r="L12" s="2235">
        <f t="shared" ref="L12:L67" si="6">SUM(G12:K12)</f>
        <v>0</v>
      </c>
      <c r="M12" s="1431">
        <f t="shared" ref="M12:M34" si="7">E12-T12</f>
        <v>0</v>
      </c>
      <c r="N12" s="1432">
        <f t="shared" ref="N12:N34" si="8">F12-U12</f>
        <v>0</v>
      </c>
      <c r="O12" s="1433">
        <f t="shared" ref="O12:O34" si="9">G12-V12</f>
        <v>0</v>
      </c>
      <c r="P12" s="1434">
        <f t="shared" ref="P12:P34" si="10">H12-W12</f>
        <v>0</v>
      </c>
      <c r="Q12" s="1434">
        <f t="shared" ref="Q12:Q34" si="11">I12-X12</f>
        <v>0</v>
      </c>
      <c r="R12" s="1434">
        <f t="shared" ref="R12:R34" si="12">J12-Y12</f>
        <v>0</v>
      </c>
      <c r="S12" s="1435">
        <f t="shared" ref="S12:S34" si="13">K12-Z12</f>
        <v>0</v>
      </c>
      <c r="T12" s="2287">
        <v>0</v>
      </c>
      <c r="U12" s="2287">
        <v>0</v>
      </c>
      <c r="V12" s="2287">
        <v>0</v>
      </c>
      <c r="W12" s="2287">
        <v>0</v>
      </c>
      <c r="X12" s="2287">
        <v>0</v>
      </c>
      <c r="Y12" s="2287">
        <v>0</v>
      </c>
      <c r="Z12" s="2290">
        <v>0</v>
      </c>
      <c r="AA12" s="2236">
        <f t="shared" si="4"/>
        <v>0</v>
      </c>
      <c r="AB12" s="2243"/>
      <c r="AC12" s="2246"/>
      <c r="AD12" s="2320" t="s">
        <v>908</v>
      </c>
      <c r="AE12" s="795"/>
      <c r="AF12" s="791"/>
      <c r="AG12" s="795"/>
      <c r="AH12" s="782"/>
      <c r="AI12" s="782"/>
      <c r="AJ12" s="782"/>
      <c r="AK12" s="791"/>
      <c r="AL12" s="1488" t="s">
        <v>520</v>
      </c>
    </row>
    <row r="13" spans="1:54" ht="21.75" customHeight="1">
      <c r="A13" s="1753"/>
      <c r="B13" s="802">
        <v>2040204</v>
      </c>
      <c r="C13" s="803">
        <v>0.02</v>
      </c>
      <c r="D13" s="2233" t="s">
        <v>521</v>
      </c>
      <c r="E13" s="781">
        <v>21</v>
      </c>
      <c r="F13" s="791">
        <v>0</v>
      </c>
      <c r="G13" s="781">
        <v>10</v>
      </c>
      <c r="H13" s="782">
        <v>10</v>
      </c>
      <c r="I13" s="782">
        <v>10</v>
      </c>
      <c r="J13" s="782">
        <v>10</v>
      </c>
      <c r="K13" s="782">
        <v>10</v>
      </c>
      <c r="L13" s="2235">
        <f t="shared" si="6"/>
        <v>50</v>
      </c>
      <c r="M13" s="1431">
        <f t="shared" si="7"/>
        <v>21</v>
      </c>
      <c r="N13" s="1432">
        <f t="shared" si="8"/>
        <v>0</v>
      </c>
      <c r="O13" s="1433">
        <f t="shared" si="9"/>
        <v>10</v>
      </c>
      <c r="P13" s="1434">
        <f t="shared" si="10"/>
        <v>10</v>
      </c>
      <c r="Q13" s="1434">
        <f t="shared" si="11"/>
        <v>10</v>
      </c>
      <c r="R13" s="1434">
        <f t="shared" si="12"/>
        <v>10</v>
      </c>
      <c r="S13" s="1435">
        <f t="shared" si="13"/>
        <v>10</v>
      </c>
      <c r="T13" s="2287">
        <v>0</v>
      </c>
      <c r="U13" s="2287">
        <v>0</v>
      </c>
      <c r="V13" s="2287">
        <v>0</v>
      </c>
      <c r="W13" s="2287">
        <v>0</v>
      </c>
      <c r="X13" s="2287">
        <v>0</v>
      </c>
      <c r="Y13" s="2287">
        <v>0</v>
      </c>
      <c r="Z13" s="2290">
        <v>0</v>
      </c>
      <c r="AA13" s="2236">
        <f t="shared" si="4"/>
        <v>0</v>
      </c>
      <c r="AB13" s="2243"/>
      <c r="AC13" s="2246"/>
      <c r="AD13" s="2320" t="s">
        <v>908</v>
      </c>
      <c r="AE13" s="795"/>
      <c r="AF13" s="791"/>
      <c r="AG13" s="795"/>
      <c r="AH13" s="782"/>
      <c r="AI13" s="782"/>
      <c r="AJ13" s="782"/>
      <c r="AK13" s="791"/>
      <c r="AL13" s="1488" t="s">
        <v>520</v>
      </c>
    </row>
    <row r="14" spans="1:54" ht="21.75" customHeight="1">
      <c r="A14" s="1753"/>
      <c r="B14" s="802">
        <v>20202</v>
      </c>
      <c r="C14" s="1769">
        <v>0.03</v>
      </c>
      <c r="D14" s="2233" t="s">
        <v>522</v>
      </c>
      <c r="E14" s="781">
        <v>10</v>
      </c>
      <c r="F14" s="791">
        <v>0</v>
      </c>
      <c r="G14" s="781">
        <v>20</v>
      </c>
      <c r="H14" s="782">
        <v>10</v>
      </c>
      <c r="I14" s="782">
        <v>10</v>
      </c>
      <c r="J14" s="782">
        <v>10</v>
      </c>
      <c r="K14" s="782">
        <v>10</v>
      </c>
      <c r="L14" s="2235">
        <f t="shared" si="6"/>
        <v>60</v>
      </c>
      <c r="M14" s="1431">
        <f t="shared" si="7"/>
        <v>10</v>
      </c>
      <c r="N14" s="1432">
        <f t="shared" si="8"/>
        <v>0</v>
      </c>
      <c r="O14" s="1433">
        <f t="shared" si="9"/>
        <v>20</v>
      </c>
      <c r="P14" s="1434">
        <f t="shared" si="10"/>
        <v>10</v>
      </c>
      <c r="Q14" s="1434">
        <f t="shared" si="11"/>
        <v>10</v>
      </c>
      <c r="R14" s="1434">
        <f t="shared" si="12"/>
        <v>10</v>
      </c>
      <c r="S14" s="1435">
        <f t="shared" si="13"/>
        <v>10</v>
      </c>
      <c r="T14" s="2287">
        <v>0</v>
      </c>
      <c r="U14" s="2287">
        <v>0</v>
      </c>
      <c r="V14" s="2287">
        <v>0</v>
      </c>
      <c r="W14" s="2287">
        <v>0</v>
      </c>
      <c r="X14" s="2287">
        <v>0</v>
      </c>
      <c r="Y14" s="2287">
        <v>0</v>
      </c>
      <c r="Z14" s="2290">
        <v>0</v>
      </c>
      <c r="AA14" s="2236">
        <f t="shared" si="4"/>
        <v>0</v>
      </c>
      <c r="AB14" s="2243"/>
      <c r="AC14" s="2246"/>
      <c r="AD14" s="2320" t="s">
        <v>908</v>
      </c>
      <c r="AE14" s="795"/>
      <c r="AF14" s="791"/>
      <c r="AG14" s="795"/>
      <c r="AH14" s="782"/>
      <c r="AI14" s="782"/>
      <c r="AJ14" s="782"/>
      <c r="AK14" s="791"/>
      <c r="AL14" s="1488" t="s">
        <v>520</v>
      </c>
    </row>
    <row r="15" spans="1:54" ht="24">
      <c r="A15" s="1753"/>
      <c r="B15" s="802">
        <v>2040205</v>
      </c>
      <c r="C15" s="803">
        <v>0.02</v>
      </c>
      <c r="D15" s="2233" t="s">
        <v>523</v>
      </c>
      <c r="E15" s="781">
        <v>900</v>
      </c>
      <c r="F15" s="791">
        <v>880</v>
      </c>
      <c r="G15" s="781">
        <v>370</v>
      </c>
      <c r="H15" s="782">
        <v>350</v>
      </c>
      <c r="I15" s="782">
        <v>280</v>
      </c>
      <c r="J15" s="782">
        <v>350</v>
      </c>
      <c r="K15" s="782">
        <v>300</v>
      </c>
      <c r="L15" s="2235">
        <f t="shared" si="6"/>
        <v>1650</v>
      </c>
      <c r="M15" s="1431">
        <f t="shared" si="7"/>
        <v>900</v>
      </c>
      <c r="N15" s="1432">
        <f t="shared" si="8"/>
        <v>880</v>
      </c>
      <c r="O15" s="1433">
        <f t="shared" si="9"/>
        <v>370</v>
      </c>
      <c r="P15" s="1434">
        <f t="shared" si="10"/>
        <v>350</v>
      </c>
      <c r="Q15" s="1434">
        <f t="shared" si="11"/>
        <v>280</v>
      </c>
      <c r="R15" s="1434">
        <f t="shared" si="12"/>
        <v>350</v>
      </c>
      <c r="S15" s="1435">
        <f t="shared" si="13"/>
        <v>300</v>
      </c>
      <c r="T15" s="2287">
        <v>0</v>
      </c>
      <c r="U15" s="2287">
        <v>0</v>
      </c>
      <c r="V15" s="2287">
        <v>0</v>
      </c>
      <c r="W15" s="2287">
        <v>0</v>
      </c>
      <c r="X15" s="2287">
        <v>0</v>
      </c>
      <c r="Y15" s="2287">
        <v>0</v>
      </c>
      <c r="Z15" s="2290">
        <v>0</v>
      </c>
      <c r="AA15" s="2236">
        <f t="shared" si="4"/>
        <v>0</v>
      </c>
      <c r="AB15" s="2243"/>
      <c r="AC15" s="2246"/>
      <c r="AD15" s="2320" t="s">
        <v>910</v>
      </c>
      <c r="AE15" s="795"/>
      <c r="AF15" s="791"/>
      <c r="AG15" s="795"/>
      <c r="AH15" s="782"/>
      <c r="AI15" s="782"/>
      <c r="AJ15" s="782"/>
      <c r="AK15" s="791"/>
      <c r="AL15" s="1488" t="s">
        <v>524</v>
      </c>
    </row>
    <row r="16" spans="1:54" ht="20.25" customHeight="1">
      <c r="A16" s="1753"/>
      <c r="B16" s="802">
        <v>2040207</v>
      </c>
      <c r="C16" s="803">
        <v>0.04</v>
      </c>
      <c r="D16" s="2233" t="s">
        <v>525</v>
      </c>
      <c r="E16" s="781">
        <v>0</v>
      </c>
      <c r="F16" s="781">
        <v>0</v>
      </c>
      <c r="G16" s="781">
        <v>0</v>
      </c>
      <c r="H16" s="781">
        <v>0</v>
      </c>
      <c r="I16" s="781">
        <v>0</v>
      </c>
      <c r="J16" s="781">
        <v>0</v>
      </c>
      <c r="K16" s="781">
        <v>0</v>
      </c>
      <c r="L16" s="2235">
        <f t="shared" si="6"/>
        <v>0</v>
      </c>
      <c r="M16" s="1431">
        <f t="shared" si="7"/>
        <v>0</v>
      </c>
      <c r="N16" s="1432">
        <f t="shared" si="8"/>
        <v>0</v>
      </c>
      <c r="O16" s="1433">
        <f t="shared" si="9"/>
        <v>0</v>
      </c>
      <c r="P16" s="1434">
        <f t="shared" si="10"/>
        <v>0</v>
      </c>
      <c r="Q16" s="1434">
        <f t="shared" si="11"/>
        <v>0</v>
      </c>
      <c r="R16" s="1434">
        <f t="shared" si="12"/>
        <v>0</v>
      </c>
      <c r="S16" s="1435">
        <f t="shared" si="13"/>
        <v>0</v>
      </c>
      <c r="T16" s="2287">
        <v>0</v>
      </c>
      <c r="U16" s="2287">
        <v>0</v>
      </c>
      <c r="V16" s="2287">
        <v>0</v>
      </c>
      <c r="W16" s="2287">
        <v>0</v>
      </c>
      <c r="X16" s="2287">
        <v>0</v>
      </c>
      <c r="Y16" s="2287">
        <v>0</v>
      </c>
      <c r="Z16" s="2290">
        <v>0</v>
      </c>
      <c r="AA16" s="2236">
        <f t="shared" si="4"/>
        <v>0</v>
      </c>
      <c r="AB16" s="2243"/>
      <c r="AC16" s="2246"/>
      <c r="AD16" s="2320" t="s">
        <v>908</v>
      </c>
      <c r="AE16" s="795"/>
      <c r="AF16" s="791"/>
      <c r="AG16" s="795"/>
      <c r="AH16" s="782"/>
      <c r="AI16" s="782"/>
      <c r="AJ16" s="782"/>
      <c r="AK16" s="791"/>
      <c r="AL16" s="1488" t="s">
        <v>526</v>
      </c>
    </row>
    <row r="17" spans="1:38" ht="19.5" customHeight="1">
      <c r="A17" s="1753"/>
      <c r="B17" s="802">
        <v>2040207</v>
      </c>
      <c r="C17" s="803">
        <v>0.04</v>
      </c>
      <c r="D17" s="2234" t="s">
        <v>892</v>
      </c>
      <c r="E17" s="781">
        <v>283</v>
      </c>
      <c r="F17" s="791">
        <v>230</v>
      </c>
      <c r="G17" s="781">
        <v>70</v>
      </c>
      <c r="H17" s="782">
        <v>60</v>
      </c>
      <c r="I17" s="782">
        <v>60</v>
      </c>
      <c r="J17" s="782">
        <v>60</v>
      </c>
      <c r="K17" s="782">
        <v>60</v>
      </c>
      <c r="L17" s="2235">
        <f t="shared" si="6"/>
        <v>310</v>
      </c>
      <c r="M17" s="1431">
        <f t="shared" si="7"/>
        <v>283</v>
      </c>
      <c r="N17" s="1432">
        <f t="shared" si="8"/>
        <v>230</v>
      </c>
      <c r="O17" s="1433">
        <f t="shared" si="9"/>
        <v>70</v>
      </c>
      <c r="P17" s="1434">
        <f t="shared" si="10"/>
        <v>60</v>
      </c>
      <c r="Q17" s="1434">
        <f t="shared" si="11"/>
        <v>60</v>
      </c>
      <c r="R17" s="1434">
        <f t="shared" si="12"/>
        <v>60</v>
      </c>
      <c r="S17" s="1435">
        <f t="shared" si="13"/>
        <v>60</v>
      </c>
      <c r="T17" s="2287">
        <v>0</v>
      </c>
      <c r="U17" s="2287">
        <v>0</v>
      </c>
      <c r="V17" s="2287">
        <v>0</v>
      </c>
      <c r="W17" s="2287">
        <v>0</v>
      </c>
      <c r="X17" s="2287">
        <v>0</v>
      </c>
      <c r="Y17" s="2287">
        <v>0</v>
      </c>
      <c r="Z17" s="2290">
        <v>0</v>
      </c>
      <c r="AA17" s="2236">
        <f t="shared" si="4"/>
        <v>0</v>
      </c>
      <c r="AB17" s="2243"/>
      <c r="AC17" s="2246"/>
      <c r="AD17" s="2320" t="s">
        <v>908</v>
      </c>
      <c r="AE17" s="795"/>
      <c r="AF17" s="791"/>
      <c r="AG17" s="795"/>
      <c r="AH17" s="782"/>
      <c r="AI17" s="782"/>
      <c r="AJ17" s="782"/>
      <c r="AK17" s="791"/>
      <c r="AL17" s="1488" t="s">
        <v>526</v>
      </c>
    </row>
    <row r="18" spans="1:38" ht="19.5" customHeight="1">
      <c r="A18" s="1753"/>
      <c r="B18" s="802">
        <v>2040207</v>
      </c>
      <c r="C18" s="803">
        <v>0.04</v>
      </c>
      <c r="D18" s="2234" t="s">
        <v>893</v>
      </c>
      <c r="E18" s="781">
        <v>0</v>
      </c>
      <c r="F18" s="781">
        <v>0</v>
      </c>
      <c r="G18" s="781">
        <v>0</v>
      </c>
      <c r="H18" s="781">
        <v>0</v>
      </c>
      <c r="I18" s="781">
        <v>0</v>
      </c>
      <c r="J18" s="781">
        <v>0</v>
      </c>
      <c r="K18" s="781">
        <v>0</v>
      </c>
      <c r="L18" s="2235">
        <f t="shared" si="6"/>
        <v>0</v>
      </c>
      <c r="M18" s="1431">
        <f t="shared" si="7"/>
        <v>0</v>
      </c>
      <c r="N18" s="1432">
        <f t="shared" si="8"/>
        <v>0</v>
      </c>
      <c r="O18" s="1433">
        <f t="shared" si="9"/>
        <v>0</v>
      </c>
      <c r="P18" s="1434">
        <f t="shared" si="10"/>
        <v>0</v>
      </c>
      <c r="Q18" s="1434">
        <f t="shared" si="11"/>
        <v>0</v>
      </c>
      <c r="R18" s="1434">
        <f t="shared" si="12"/>
        <v>0</v>
      </c>
      <c r="S18" s="1435">
        <f t="shared" si="13"/>
        <v>0</v>
      </c>
      <c r="T18" s="2287">
        <v>0</v>
      </c>
      <c r="U18" s="2287">
        <v>0</v>
      </c>
      <c r="V18" s="2287">
        <v>0</v>
      </c>
      <c r="W18" s="2287">
        <v>0</v>
      </c>
      <c r="X18" s="2287">
        <v>0</v>
      </c>
      <c r="Y18" s="2287">
        <v>0</v>
      </c>
      <c r="Z18" s="2290">
        <v>0</v>
      </c>
      <c r="AA18" s="2236">
        <f t="shared" si="4"/>
        <v>0</v>
      </c>
      <c r="AB18" s="2243"/>
      <c r="AC18" s="2246"/>
      <c r="AD18" s="2320" t="s">
        <v>908</v>
      </c>
      <c r="AE18" s="795"/>
      <c r="AF18" s="791"/>
      <c r="AG18" s="795"/>
      <c r="AH18" s="782"/>
      <c r="AI18" s="782"/>
      <c r="AJ18" s="782"/>
      <c r="AK18" s="791"/>
      <c r="AL18" s="1488" t="s">
        <v>526</v>
      </c>
    </row>
    <row r="19" spans="1:38" ht="18.75" customHeight="1">
      <c r="A19" s="1753"/>
      <c r="B19" s="802">
        <v>2040207</v>
      </c>
      <c r="C19" s="803">
        <v>0.04</v>
      </c>
      <c r="D19" s="2234" t="s">
        <v>527</v>
      </c>
      <c r="E19" s="781">
        <v>46</v>
      </c>
      <c r="F19" s="791">
        <v>47</v>
      </c>
      <c r="G19" s="781">
        <v>30</v>
      </c>
      <c r="H19" s="782">
        <v>35</v>
      </c>
      <c r="I19" s="782">
        <v>40</v>
      </c>
      <c r="J19" s="782">
        <v>30</v>
      </c>
      <c r="K19" s="782">
        <v>25</v>
      </c>
      <c r="L19" s="2235">
        <f t="shared" si="6"/>
        <v>160</v>
      </c>
      <c r="M19" s="1431">
        <f t="shared" si="7"/>
        <v>46</v>
      </c>
      <c r="N19" s="1432">
        <f t="shared" si="8"/>
        <v>47</v>
      </c>
      <c r="O19" s="1433">
        <f t="shared" si="9"/>
        <v>30</v>
      </c>
      <c r="P19" s="1434">
        <f t="shared" si="10"/>
        <v>35</v>
      </c>
      <c r="Q19" s="1434">
        <f t="shared" si="11"/>
        <v>40</v>
      </c>
      <c r="R19" s="1434">
        <f t="shared" si="12"/>
        <v>30</v>
      </c>
      <c r="S19" s="1435">
        <f t="shared" si="13"/>
        <v>25</v>
      </c>
      <c r="T19" s="2287">
        <v>0</v>
      </c>
      <c r="U19" s="2287">
        <v>0</v>
      </c>
      <c r="V19" s="2287">
        <v>0</v>
      </c>
      <c r="W19" s="2287">
        <v>0</v>
      </c>
      <c r="X19" s="2287">
        <v>0</v>
      </c>
      <c r="Y19" s="2287">
        <v>0</v>
      </c>
      <c r="Z19" s="2290">
        <v>0</v>
      </c>
      <c r="AA19" s="2236">
        <f t="shared" si="4"/>
        <v>0</v>
      </c>
      <c r="AB19" s="2243"/>
      <c r="AC19" s="2246"/>
      <c r="AD19" s="2320" t="s">
        <v>908</v>
      </c>
      <c r="AE19" s="795"/>
      <c r="AF19" s="791"/>
      <c r="AG19" s="795"/>
      <c r="AH19" s="782"/>
      <c r="AI19" s="782"/>
      <c r="AJ19" s="782"/>
      <c r="AK19" s="791"/>
      <c r="AL19" s="1488" t="s">
        <v>526</v>
      </c>
    </row>
    <row r="20" spans="1:38" ht="18.75" customHeight="1">
      <c r="A20" s="1753"/>
      <c r="B20" s="802">
        <v>2030401</v>
      </c>
      <c r="C20" s="805">
        <v>0.1</v>
      </c>
      <c r="D20" s="2234" t="s">
        <v>528</v>
      </c>
      <c r="E20" s="781">
        <v>0</v>
      </c>
      <c r="F20" s="781">
        <v>0</v>
      </c>
      <c r="G20" s="781">
        <v>0</v>
      </c>
      <c r="H20" s="781">
        <v>0</v>
      </c>
      <c r="I20" s="781">
        <v>0</v>
      </c>
      <c r="J20" s="781">
        <v>0</v>
      </c>
      <c r="K20" s="781">
        <v>0</v>
      </c>
      <c r="L20" s="2235">
        <f t="shared" si="6"/>
        <v>0</v>
      </c>
      <c r="M20" s="1431">
        <f t="shared" si="7"/>
        <v>0</v>
      </c>
      <c r="N20" s="1432">
        <f t="shared" si="8"/>
        <v>0</v>
      </c>
      <c r="O20" s="1433">
        <f t="shared" si="9"/>
        <v>0</v>
      </c>
      <c r="P20" s="1434">
        <f t="shared" si="10"/>
        <v>0</v>
      </c>
      <c r="Q20" s="1434">
        <f t="shared" si="11"/>
        <v>0</v>
      </c>
      <c r="R20" s="1434">
        <f t="shared" si="12"/>
        <v>0</v>
      </c>
      <c r="S20" s="1435">
        <f t="shared" si="13"/>
        <v>0</v>
      </c>
      <c r="T20" s="2287">
        <v>0</v>
      </c>
      <c r="U20" s="2287">
        <v>0</v>
      </c>
      <c r="V20" s="2287">
        <v>0</v>
      </c>
      <c r="W20" s="2287">
        <v>0</v>
      </c>
      <c r="X20" s="2287">
        <v>0</v>
      </c>
      <c r="Y20" s="2287">
        <v>0</v>
      </c>
      <c r="Z20" s="2290">
        <v>0</v>
      </c>
      <c r="AA20" s="2236">
        <f>L20-SUM(O20:S20)-SUM(V20:Z20)</f>
        <v>0</v>
      </c>
      <c r="AB20" s="2243"/>
      <c r="AC20" s="2246"/>
      <c r="AD20" s="2320" t="s">
        <v>908</v>
      </c>
      <c r="AE20" s="795"/>
      <c r="AF20" s="791"/>
      <c r="AG20" s="795"/>
      <c r="AH20" s="782"/>
      <c r="AI20" s="782"/>
      <c r="AJ20" s="782"/>
      <c r="AK20" s="791"/>
      <c r="AL20" s="1488" t="s">
        <v>526</v>
      </c>
    </row>
    <row r="21" spans="1:38" ht="24">
      <c r="A21" s="1753"/>
      <c r="B21" s="802">
        <v>2040205</v>
      </c>
      <c r="C21" s="803">
        <v>0.02</v>
      </c>
      <c r="D21" s="2233" t="s">
        <v>529</v>
      </c>
      <c r="E21" s="781">
        <v>110</v>
      </c>
      <c r="F21" s="791">
        <v>196</v>
      </c>
      <c r="G21" s="781">
        <v>110</v>
      </c>
      <c r="H21" s="782">
        <v>110</v>
      </c>
      <c r="I21" s="782">
        <v>110</v>
      </c>
      <c r="J21" s="782">
        <v>100</v>
      </c>
      <c r="K21" s="782">
        <v>100</v>
      </c>
      <c r="L21" s="2235">
        <f t="shared" si="6"/>
        <v>530</v>
      </c>
      <c r="M21" s="1431">
        <f t="shared" si="7"/>
        <v>110</v>
      </c>
      <c r="N21" s="1432">
        <f t="shared" si="8"/>
        <v>196</v>
      </c>
      <c r="O21" s="1433">
        <f t="shared" si="9"/>
        <v>110</v>
      </c>
      <c r="P21" s="1434">
        <f t="shared" si="10"/>
        <v>110</v>
      </c>
      <c r="Q21" s="1434">
        <f t="shared" si="11"/>
        <v>110</v>
      </c>
      <c r="R21" s="1434">
        <f t="shared" si="12"/>
        <v>100</v>
      </c>
      <c r="S21" s="1435">
        <f t="shared" si="13"/>
        <v>100</v>
      </c>
      <c r="T21" s="2287">
        <v>0</v>
      </c>
      <c r="U21" s="2287">
        <v>0</v>
      </c>
      <c r="V21" s="2287">
        <v>0</v>
      </c>
      <c r="W21" s="2287">
        <v>0</v>
      </c>
      <c r="X21" s="2287">
        <v>0</v>
      </c>
      <c r="Y21" s="2287">
        <v>0</v>
      </c>
      <c r="Z21" s="2290">
        <v>0</v>
      </c>
      <c r="AA21" s="2236">
        <f t="shared" si="4"/>
        <v>0</v>
      </c>
      <c r="AB21" s="2243"/>
      <c r="AC21" s="2246"/>
      <c r="AD21" s="2320" t="s">
        <v>910</v>
      </c>
      <c r="AE21" s="795"/>
      <c r="AF21" s="791"/>
      <c r="AG21" s="795"/>
      <c r="AH21" s="782"/>
      <c r="AI21" s="782"/>
      <c r="AJ21" s="782"/>
      <c r="AK21" s="791"/>
      <c r="AL21" s="1488" t="s">
        <v>530</v>
      </c>
    </row>
    <row r="22" spans="1:38" ht="19.5" customHeight="1">
      <c r="A22" s="1753"/>
      <c r="B22" s="802">
        <v>2040205</v>
      </c>
      <c r="C22" s="803">
        <v>0.02</v>
      </c>
      <c r="D22" s="2233" t="s">
        <v>531</v>
      </c>
      <c r="E22" s="781">
        <v>0</v>
      </c>
      <c r="F22" s="781">
        <v>0</v>
      </c>
      <c r="G22" s="781">
        <v>0</v>
      </c>
      <c r="H22" s="781">
        <v>0</v>
      </c>
      <c r="I22" s="781">
        <v>0</v>
      </c>
      <c r="J22" s="781">
        <v>0</v>
      </c>
      <c r="K22" s="781">
        <v>0</v>
      </c>
      <c r="L22" s="2235">
        <f t="shared" si="6"/>
        <v>0</v>
      </c>
      <c r="M22" s="1431">
        <f t="shared" si="7"/>
        <v>0</v>
      </c>
      <c r="N22" s="1432">
        <f t="shared" si="8"/>
        <v>0</v>
      </c>
      <c r="O22" s="1433">
        <f t="shared" si="9"/>
        <v>0</v>
      </c>
      <c r="P22" s="1434">
        <f t="shared" si="10"/>
        <v>0</v>
      </c>
      <c r="Q22" s="1434">
        <f t="shared" si="11"/>
        <v>0</v>
      </c>
      <c r="R22" s="1434">
        <f t="shared" si="12"/>
        <v>0</v>
      </c>
      <c r="S22" s="1435">
        <f t="shared" si="13"/>
        <v>0</v>
      </c>
      <c r="T22" s="2287">
        <v>0</v>
      </c>
      <c r="U22" s="2287">
        <v>0</v>
      </c>
      <c r="V22" s="2287">
        <v>0</v>
      </c>
      <c r="W22" s="2287">
        <v>0</v>
      </c>
      <c r="X22" s="2287">
        <v>0</v>
      </c>
      <c r="Y22" s="2287">
        <v>0</v>
      </c>
      <c r="Z22" s="2290">
        <v>0</v>
      </c>
      <c r="AA22" s="2236">
        <f t="shared" si="4"/>
        <v>0</v>
      </c>
      <c r="AB22" s="2243"/>
      <c r="AC22" s="2246"/>
      <c r="AD22" s="2320" t="s">
        <v>908</v>
      </c>
      <c r="AE22" s="795"/>
      <c r="AF22" s="791"/>
      <c r="AG22" s="795"/>
      <c r="AH22" s="782"/>
      <c r="AI22" s="782"/>
      <c r="AJ22" s="782"/>
      <c r="AK22" s="791"/>
      <c r="AL22" s="1488" t="s">
        <v>532</v>
      </c>
    </row>
    <row r="23" spans="1:38" ht="48">
      <c r="A23" s="1753"/>
      <c r="B23" s="802">
        <v>2030502</v>
      </c>
      <c r="C23" s="803">
        <v>0.1</v>
      </c>
      <c r="D23" s="2233" t="s">
        <v>533</v>
      </c>
      <c r="E23" s="781">
        <v>0</v>
      </c>
      <c r="F23" s="791">
        <v>120</v>
      </c>
      <c r="G23" s="781">
        <v>40</v>
      </c>
      <c r="H23" s="782">
        <v>40</v>
      </c>
      <c r="I23" s="782">
        <v>40</v>
      </c>
      <c r="J23" s="782">
        <v>20</v>
      </c>
      <c r="K23" s="782">
        <v>20</v>
      </c>
      <c r="L23" s="2235">
        <f t="shared" si="6"/>
        <v>160</v>
      </c>
      <c r="M23" s="1431">
        <f t="shared" si="7"/>
        <v>0</v>
      </c>
      <c r="N23" s="1432">
        <f t="shared" si="8"/>
        <v>120</v>
      </c>
      <c r="O23" s="1433">
        <f t="shared" si="9"/>
        <v>40</v>
      </c>
      <c r="P23" s="1434">
        <f t="shared" si="10"/>
        <v>40</v>
      </c>
      <c r="Q23" s="1434">
        <f t="shared" si="11"/>
        <v>40</v>
      </c>
      <c r="R23" s="1434">
        <f t="shared" si="12"/>
        <v>20</v>
      </c>
      <c r="S23" s="1435">
        <f t="shared" si="13"/>
        <v>20</v>
      </c>
      <c r="T23" s="2287">
        <v>0</v>
      </c>
      <c r="U23" s="2287">
        <v>0</v>
      </c>
      <c r="V23" s="2287">
        <v>0</v>
      </c>
      <c r="W23" s="2287">
        <v>0</v>
      </c>
      <c r="X23" s="2287">
        <v>0</v>
      </c>
      <c r="Y23" s="2287">
        <v>0</v>
      </c>
      <c r="Z23" s="2290">
        <v>0</v>
      </c>
      <c r="AA23" s="2236">
        <f t="shared" si="4"/>
        <v>0</v>
      </c>
      <c r="AB23" s="2243"/>
      <c r="AC23" s="2246"/>
      <c r="AD23" s="2320" t="s">
        <v>908</v>
      </c>
      <c r="AE23" s="795"/>
      <c r="AF23" s="791"/>
      <c r="AG23" s="795"/>
      <c r="AH23" s="782"/>
      <c r="AI23" s="782"/>
      <c r="AJ23" s="782"/>
      <c r="AK23" s="791"/>
      <c r="AL23" s="1799" t="s">
        <v>1468</v>
      </c>
    </row>
    <row r="24" spans="1:38" ht="36">
      <c r="A24" s="1753"/>
      <c r="B24" s="802">
        <v>2030501</v>
      </c>
      <c r="C24" s="805">
        <v>0.1</v>
      </c>
      <c r="D24" s="2234" t="s">
        <v>884</v>
      </c>
      <c r="E24" s="781">
        <v>55</v>
      </c>
      <c r="F24" s="791">
        <v>120</v>
      </c>
      <c r="G24" s="781">
        <v>40</v>
      </c>
      <c r="H24" s="782">
        <v>40</v>
      </c>
      <c r="I24" s="782">
        <v>40</v>
      </c>
      <c r="J24" s="782">
        <v>20</v>
      </c>
      <c r="K24" s="782">
        <v>20</v>
      </c>
      <c r="L24" s="2235">
        <f t="shared" si="6"/>
        <v>160</v>
      </c>
      <c r="M24" s="1431">
        <f t="shared" si="7"/>
        <v>55</v>
      </c>
      <c r="N24" s="1432">
        <f t="shared" si="8"/>
        <v>120</v>
      </c>
      <c r="O24" s="1433">
        <f t="shared" si="9"/>
        <v>40</v>
      </c>
      <c r="P24" s="1434">
        <f t="shared" si="10"/>
        <v>40</v>
      </c>
      <c r="Q24" s="1434">
        <f t="shared" si="11"/>
        <v>40</v>
      </c>
      <c r="R24" s="1434">
        <f t="shared" si="12"/>
        <v>20</v>
      </c>
      <c r="S24" s="1435">
        <f t="shared" si="13"/>
        <v>20</v>
      </c>
      <c r="T24" s="2287">
        <v>0</v>
      </c>
      <c r="U24" s="2287">
        <v>0</v>
      </c>
      <c r="V24" s="2287">
        <v>0</v>
      </c>
      <c r="W24" s="2287">
        <v>0</v>
      </c>
      <c r="X24" s="2287">
        <v>0</v>
      </c>
      <c r="Y24" s="2287">
        <v>0</v>
      </c>
      <c r="Z24" s="2290">
        <v>0</v>
      </c>
      <c r="AA24" s="2236">
        <f t="shared" si="4"/>
        <v>0</v>
      </c>
      <c r="AB24" s="2243"/>
      <c r="AC24" s="2246"/>
      <c r="AD24" s="2320" t="s">
        <v>908</v>
      </c>
      <c r="AE24" s="795"/>
      <c r="AF24" s="791"/>
      <c r="AG24" s="795"/>
      <c r="AH24" s="782"/>
      <c r="AI24" s="782"/>
      <c r="AJ24" s="782"/>
      <c r="AK24" s="791"/>
      <c r="AL24" s="1489" t="s">
        <v>962</v>
      </c>
    </row>
    <row r="25" spans="1:38" ht="36">
      <c r="A25" s="1753"/>
      <c r="B25" s="802">
        <v>2030501</v>
      </c>
      <c r="C25" s="805">
        <v>0.1</v>
      </c>
      <c r="D25" s="2233" t="s">
        <v>885</v>
      </c>
      <c r="E25" s="781">
        <v>19</v>
      </c>
      <c r="F25" s="791">
        <v>120</v>
      </c>
      <c r="G25" s="781">
        <v>0</v>
      </c>
      <c r="H25" s="782">
        <v>20</v>
      </c>
      <c r="I25" s="782">
        <v>0</v>
      </c>
      <c r="J25" s="782">
        <v>20</v>
      </c>
      <c r="K25" s="782">
        <v>0</v>
      </c>
      <c r="L25" s="2235">
        <f t="shared" si="6"/>
        <v>40</v>
      </c>
      <c r="M25" s="1431">
        <f t="shared" si="7"/>
        <v>19</v>
      </c>
      <c r="N25" s="1432">
        <f t="shared" si="8"/>
        <v>120</v>
      </c>
      <c r="O25" s="1433">
        <f t="shared" si="9"/>
        <v>0</v>
      </c>
      <c r="P25" s="1434">
        <f t="shared" si="10"/>
        <v>20</v>
      </c>
      <c r="Q25" s="1434">
        <f t="shared" si="11"/>
        <v>0</v>
      </c>
      <c r="R25" s="1434">
        <f t="shared" si="12"/>
        <v>20</v>
      </c>
      <c r="S25" s="1435">
        <f t="shared" si="13"/>
        <v>0</v>
      </c>
      <c r="T25" s="2287">
        <v>0</v>
      </c>
      <c r="U25" s="2287">
        <v>0</v>
      </c>
      <c r="V25" s="2287">
        <v>0</v>
      </c>
      <c r="W25" s="2287">
        <v>0</v>
      </c>
      <c r="X25" s="2287">
        <v>0</v>
      </c>
      <c r="Y25" s="2287">
        <v>0</v>
      </c>
      <c r="Z25" s="2290">
        <v>0</v>
      </c>
      <c r="AA25" s="2236">
        <f t="shared" si="4"/>
        <v>0</v>
      </c>
      <c r="AB25" s="2243"/>
      <c r="AC25" s="2246"/>
      <c r="AD25" s="2320" t="s">
        <v>908</v>
      </c>
      <c r="AE25" s="795"/>
      <c r="AF25" s="791"/>
      <c r="AG25" s="795"/>
      <c r="AH25" s="782"/>
      <c r="AI25" s="782"/>
      <c r="AJ25" s="782"/>
      <c r="AK25" s="791"/>
      <c r="AL25" s="1489" t="s">
        <v>886</v>
      </c>
    </row>
    <row r="26" spans="1:38" ht="24">
      <c r="A26" s="1753"/>
      <c r="B26" s="802">
        <v>2030502</v>
      </c>
      <c r="C26" s="805">
        <v>0.1</v>
      </c>
      <c r="D26" s="2234" t="s">
        <v>534</v>
      </c>
      <c r="E26" s="781">
        <v>0</v>
      </c>
      <c r="F26" s="791">
        <v>160</v>
      </c>
      <c r="G26" s="781">
        <v>20</v>
      </c>
      <c r="H26" s="782">
        <v>0</v>
      </c>
      <c r="I26" s="782">
        <v>20</v>
      </c>
      <c r="J26" s="782">
        <v>0</v>
      </c>
      <c r="K26" s="782">
        <v>20</v>
      </c>
      <c r="L26" s="2235">
        <f t="shared" si="6"/>
        <v>60</v>
      </c>
      <c r="M26" s="1431">
        <f t="shared" si="7"/>
        <v>0</v>
      </c>
      <c r="N26" s="1432">
        <f t="shared" si="8"/>
        <v>160</v>
      </c>
      <c r="O26" s="1433">
        <f t="shared" si="9"/>
        <v>20</v>
      </c>
      <c r="P26" s="1434">
        <f t="shared" si="10"/>
        <v>0</v>
      </c>
      <c r="Q26" s="1434">
        <f t="shared" si="11"/>
        <v>20</v>
      </c>
      <c r="R26" s="1434">
        <f t="shared" si="12"/>
        <v>0</v>
      </c>
      <c r="S26" s="1435">
        <f t="shared" si="13"/>
        <v>20</v>
      </c>
      <c r="T26" s="2287">
        <v>0</v>
      </c>
      <c r="U26" s="2287">
        <v>0</v>
      </c>
      <c r="V26" s="2287">
        <v>0</v>
      </c>
      <c r="W26" s="2287">
        <v>0</v>
      </c>
      <c r="X26" s="2287">
        <v>0</v>
      </c>
      <c r="Y26" s="2287">
        <v>0</v>
      </c>
      <c r="Z26" s="2290">
        <v>0</v>
      </c>
      <c r="AA26" s="2236">
        <f t="shared" si="4"/>
        <v>0</v>
      </c>
      <c r="AB26" s="2243"/>
      <c r="AC26" s="2246"/>
      <c r="AD26" s="2320" t="s">
        <v>908</v>
      </c>
      <c r="AE26" s="795"/>
      <c r="AF26" s="791"/>
      <c r="AG26" s="795"/>
      <c r="AH26" s="782"/>
      <c r="AI26" s="782"/>
      <c r="AJ26" s="782"/>
      <c r="AK26" s="791"/>
      <c r="AL26" s="1489" t="s">
        <v>961</v>
      </c>
    </row>
    <row r="27" spans="1:38" ht="24">
      <c r="A27" s="1753"/>
      <c r="B27" s="802">
        <v>215</v>
      </c>
      <c r="C27" s="1769">
        <v>0.2</v>
      </c>
      <c r="D27" s="2233" t="s">
        <v>535</v>
      </c>
      <c r="E27" s="781">
        <v>0</v>
      </c>
      <c r="F27" s="781">
        <v>0</v>
      </c>
      <c r="G27" s="781">
        <v>0</v>
      </c>
      <c r="H27" s="781">
        <v>0</v>
      </c>
      <c r="I27" s="781">
        <v>0</v>
      </c>
      <c r="J27" s="781">
        <v>0</v>
      </c>
      <c r="K27" s="781">
        <v>0</v>
      </c>
      <c r="L27" s="2235">
        <f t="shared" si="6"/>
        <v>0</v>
      </c>
      <c r="M27" s="1431">
        <f t="shared" si="7"/>
        <v>0</v>
      </c>
      <c r="N27" s="1432">
        <f t="shared" si="8"/>
        <v>0</v>
      </c>
      <c r="O27" s="1433">
        <f t="shared" si="9"/>
        <v>0</v>
      </c>
      <c r="P27" s="1434">
        <f t="shared" si="10"/>
        <v>0</v>
      </c>
      <c r="Q27" s="1434">
        <f t="shared" si="11"/>
        <v>0</v>
      </c>
      <c r="R27" s="1434">
        <f t="shared" si="12"/>
        <v>0</v>
      </c>
      <c r="S27" s="1435">
        <f t="shared" si="13"/>
        <v>0</v>
      </c>
      <c r="T27" s="2287">
        <v>0</v>
      </c>
      <c r="U27" s="2287">
        <v>0</v>
      </c>
      <c r="V27" s="2287">
        <v>0</v>
      </c>
      <c r="W27" s="2287">
        <v>0</v>
      </c>
      <c r="X27" s="2287">
        <v>0</v>
      </c>
      <c r="Y27" s="2287">
        <v>0</v>
      </c>
      <c r="Z27" s="2290">
        <v>0</v>
      </c>
      <c r="AA27" s="2236">
        <f t="shared" si="4"/>
        <v>0</v>
      </c>
      <c r="AB27" s="2243"/>
      <c r="AC27" s="2246"/>
      <c r="AD27" s="1383" t="s">
        <v>380</v>
      </c>
      <c r="AE27" s="795"/>
      <c r="AF27" s="791"/>
      <c r="AG27" s="795"/>
      <c r="AH27" s="782"/>
      <c r="AI27" s="782"/>
      <c r="AJ27" s="782"/>
      <c r="AK27" s="791"/>
      <c r="AL27" s="1488" t="s">
        <v>536</v>
      </c>
    </row>
    <row r="28" spans="1:38" ht="22.5" customHeight="1">
      <c r="A28" s="1753"/>
      <c r="B28" s="802">
        <v>2030503</v>
      </c>
      <c r="C28" s="803">
        <v>0.1</v>
      </c>
      <c r="D28" s="2233" t="s">
        <v>896</v>
      </c>
      <c r="E28" s="781">
        <v>5</v>
      </c>
      <c r="F28" s="791">
        <v>182</v>
      </c>
      <c r="G28" s="781">
        <v>50</v>
      </c>
      <c r="H28" s="782">
        <v>50</v>
      </c>
      <c r="I28" s="782">
        <v>50</v>
      </c>
      <c r="J28" s="782">
        <v>50</v>
      </c>
      <c r="K28" s="782">
        <v>50</v>
      </c>
      <c r="L28" s="2235">
        <f t="shared" si="6"/>
        <v>250</v>
      </c>
      <c r="M28" s="1431">
        <f t="shared" si="7"/>
        <v>5</v>
      </c>
      <c r="N28" s="1432">
        <f t="shared" si="8"/>
        <v>182</v>
      </c>
      <c r="O28" s="1433">
        <f t="shared" si="9"/>
        <v>50</v>
      </c>
      <c r="P28" s="1434">
        <f t="shared" si="10"/>
        <v>50</v>
      </c>
      <c r="Q28" s="1434">
        <f t="shared" si="11"/>
        <v>50</v>
      </c>
      <c r="R28" s="1434">
        <f t="shared" si="12"/>
        <v>50</v>
      </c>
      <c r="S28" s="1435">
        <f t="shared" si="13"/>
        <v>50</v>
      </c>
      <c r="T28" s="2287">
        <v>0</v>
      </c>
      <c r="U28" s="2287">
        <v>0</v>
      </c>
      <c r="V28" s="2287">
        <v>0</v>
      </c>
      <c r="W28" s="2287">
        <v>0</v>
      </c>
      <c r="X28" s="2287">
        <v>0</v>
      </c>
      <c r="Y28" s="2287">
        <v>0</v>
      </c>
      <c r="Z28" s="2290">
        <v>0</v>
      </c>
      <c r="AA28" s="2236">
        <f t="shared" si="4"/>
        <v>0</v>
      </c>
      <c r="AB28" s="2243"/>
      <c r="AC28" s="2246"/>
      <c r="AD28" s="2320" t="s">
        <v>908</v>
      </c>
      <c r="AE28" s="795"/>
      <c r="AF28" s="791"/>
      <c r="AG28" s="795"/>
      <c r="AH28" s="782"/>
      <c r="AI28" s="782"/>
      <c r="AJ28" s="782"/>
      <c r="AK28" s="791"/>
      <c r="AL28" s="1488" t="s">
        <v>537</v>
      </c>
    </row>
    <row r="29" spans="1:38" ht="21.75" customHeight="1">
      <c r="A29" s="1753"/>
      <c r="B29" s="802">
        <v>20302</v>
      </c>
      <c r="C29" s="803">
        <v>0.1</v>
      </c>
      <c r="D29" s="2233" t="s">
        <v>538</v>
      </c>
      <c r="E29" s="781">
        <v>0</v>
      </c>
      <c r="F29" s="781">
        <v>0</v>
      </c>
      <c r="G29" s="781">
        <v>0</v>
      </c>
      <c r="H29" s="781">
        <v>0</v>
      </c>
      <c r="I29" s="781">
        <v>0</v>
      </c>
      <c r="J29" s="781">
        <v>0</v>
      </c>
      <c r="K29" s="781">
        <v>0</v>
      </c>
      <c r="L29" s="2235">
        <f t="shared" si="6"/>
        <v>0</v>
      </c>
      <c r="M29" s="1431">
        <f t="shared" si="7"/>
        <v>0</v>
      </c>
      <c r="N29" s="1432">
        <f t="shared" si="8"/>
        <v>0</v>
      </c>
      <c r="O29" s="1433">
        <f t="shared" si="9"/>
        <v>0</v>
      </c>
      <c r="P29" s="1434">
        <f t="shared" si="10"/>
        <v>0</v>
      </c>
      <c r="Q29" s="1434">
        <f t="shared" si="11"/>
        <v>0</v>
      </c>
      <c r="R29" s="1434">
        <f t="shared" si="12"/>
        <v>0</v>
      </c>
      <c r="S29" s="1435">
        <f t="shared" si="13"/>
        <v>0</v>
      </c>
      <c r="T29" s="2287">
        <v>0</v>
      </c>
      <c r="U29" s="2287">
        <v>0</v>
      </c>
      <c r="V29" s="2287">
        <v>0</v>
      </c>
      <c r="W29" s="2287">
        <v>0</v>
      </c>
      <c r="X29" s="2287">
        <v>0</v>
      </c>
      <c r="Y29" s="2287">
        <v>0</v>
      </c>
      <c r="Z29" s="2290">
        <v>0</v>
      </c>
      <c r="AA29" s="2236">
        <f t="shared" si="4"/>
        <v>0</v>
      </c>
      <c r="AB29" s="2243"/>
      <c r="AC29" s="2246"/>
      <c r="AD29" s="2320" t="s">
        <v>908</v>
      </c>
      <c r="AE29" s="795"/>
      <c r="AF29" s="791"/>
      <c r="AG29" s="795"/>
      <c r="AH29" s="782"/>
      <c r="AI29" s="782"/>
      <c r="AJ29" s="782"/>
      <c r="AK29" s="791"/>
      <c r="AL29" s="1488" t="s">
        <v>539</v>
      </c>
    </row>
    <row r="30" spans="1:38" ht="24">
      <c r="A30" s="1754"/>
      <c r="B30" s="802">
        <v>20502</v>
      </c>
      <c r="C30" s="803">
        <v>0.1</v>
      </c>
      <c r="D30" s="2233" t="s">
        <v>540</v>
      </c>
      <c r="E30" s="781">
        <v>104</v>
      </c>
      <c r="F30" s="791">
        <v>104</v>
      </c>
      <c r="G30" s="781">
        <v>50</v>
      </c>
      <c r="H30" s="782">
        <v>70</v>
      </c>
      <c r="I30" s="782">
        <v>50</v>
      </c>
      <c r="J30" s="782">
        <v>30</v>
      </c>
      <c r="K30" s="782">
        <v>40</v>
      </c>
      <c r="L30" s="2235">
        <f t="shared" si="6"/>
        <v>240</v>
      </c>
      <c r="M30" s="1431">
        <f t="shared" si="7"/>
        <v>104</v>
      </c>
      <c r="N30" s="1432">
        <f t="shared" si="8"/>
        <v>104</v>
      </c>
      <c r="O30" s="1433">
        <f t="shared" si="9"/>
        <v>50</v>
      </c>
      <c r="P30" s="1434">
        <f t="shared" si="10"/>
        <v>70</v>
      </c>
      <c r="Q30" s="1434">
        <f t="shared" si="11"/>
        <v>50</v>
      </c>
      <c r="R30" s="1434">
        <f t="shared" si="12"/>
        <v>30</v>
      </c>
      <c r="S30" s="1435">
        <f t="shared" si="13"/>
        <v>40</v>
      </c>
      <c r="T30" s="2287">
        <v>0</v>
      </c>
      <c r="U30" s="2287">
        <v>0</v>
      </c>
      <c r="V30" s="2287">
        <v>0</v>
      </c>
      <c r="W30" s="2287">
        <v>0</v>
      </c>
      <c r="X30" s="2287">
        <v>0</v>
      </c>
      <c r="Y30" s="2287">
        <v>0</v>
      </c>
      <c r="Z30" s="2290">
        <v>0</v>
      </c>
      <c r="AA30" s="2236">
        <f t="shared" si="4"/>
        <v>0</v>
      </c>
      <c r="AB30" s="2243"/>
      <c r="AC30" s="2246"/>
      <c r="AD30" s="2320" t="s">
        <v>908</v>
      </c>
      <c r="AE30" s="795"/>
      <c r="AF30" s="791"/>
      <c r="AG30" s="795"/>
      <c r="AH30" s="782"/>
      <c r="AI30" s="782"/>
      <c r="AJ30" s="782"/>
      <c r="AK30" s="791"/>
      <c r="AL30" s="1488" t="s">
        <v>541</v>
      </c>
    </row>
    <row r="31" spans="1:38" ht="24">
      <c r="A31" s="1754"/>
      <c r="B31" s="802">
        <v>20501</v>
      </c>
      <c r="C31" s="803">
        <v>0.08</v>
      </c>
      <c r="D31" s="2233" t="s">
        <v>542</v>
      </c>
      <c r="E31" s="781">
        <v>0</v>
      </c>
      <c r="F31" s="791">
        <v>246</v>
      </c>
      <c r="G31" s="781">
        <v>100</v>
      </c>
      <c r="H31" s="782">
        <v>80</v>
      </c>
      <c r="I31" s="782">
        <v>90</v>
      </c>
      <c r="J31" s="782">
        <v>50</v>
      </c>
      <c r="K31" s="782">
        <v>50</v>
      </c>
      <c r="L31" s="2235">
        <f t="shared" si="6"/>
        <v>370</v>
      </c>
      <c r="M31" s="1431">
        <f t="shared" si="7"/>
        <v>0</v>
      </c>
      <c r="N31" s="1432">
        <f t="shared" si="8"/>
        <v>246</v>
      </c>
      <c r="O31" s="1433">
        <f t="shared" si="9"/>
        <v>100</v>
      </c>
      <c r="P31" s="1434">
        <f t="shared" si="10"/>
        <v>80</v>
      </c>
      <c r="Q31" s="1434">
        <f t="shared" si="11"/>
        <v>90</v>
      </c>
      <c r="R31" s="1434">
        <f t="shared" si="12"/>
        <v>50</v>
      </c>
      <c r="S31" s="1435">
        <f t="shared" si="13"/>
        <v>50</v>
      </c>
      <c r="T31" s="2287">
        <v>0</v>
      </c>
      <c r="U31" s="2287">
        <v>0</v>
      </c>
      <c r="V31" s="2287">
        <v>0</v>
      </c>
      <c r="W31" s="2287">
        <v>0</v>
      </c>
      <c r="X31" s="2287">
        <v>0</v>
      </c>
      <c r="Y31" s="2287">
        <v>0</v>
      </c>
      <c r="Z31" s="2290">
        <v>0</v>
      </c>
      <c r="AA31" s="2236">
        <f t="shared" si="4"/>
        <v>0</v>
      </c>
      <c r="AB31" s="2243"/>
      <c r="AC31" s="2246"/>
      <c r="AD31" s="2320" t="s">
        <v>908</v>
      </c>
      <c r="AE31" s="795"/>
      <c r="AF31" s="791"/>
      <c r="AG31" s="795"/>
      <c r="AH31" s="782"/>
      <c r="AI31" s="782"/>
      <c r="AJ31" s="782"/>
      <c r="AK31" s="791"/>
      <c r="AL31" s="1488" t="s">
        <v>541</v>
      </c>
    </row>
    <row r="32" spans="1:38" ht="24">
      <c r="A32" s="1754"/>
      <c r="B32" s="802">
        <v>20503</v>
      </c>
      <c r="C32" s="803">
        <v>0.1</v>
      </c>
      <c r="D32" s="2234" t="s">
        <v>906</v>
      </c>
      <c r="E32" s="781">
        <v>0</v>
      </c>
      <c r="F32" s="781">
        <v>0</v>
      </c>
      <c r="G32" s="781">
        <v>0</v>
      </c>
      <c r="H32" s="781">
        <v>0</v>
      </c>
      <c r="I32" s="781">
        <v>0</v>
      </c>
      <c r="J32" s="781">
        <v>0</v>
      </c>
      <c r="K32" s="781">
        <v>0</v>
      </c>
      <c r="L32" s="2235">
        <f t="shared" si="6"/>
        <v>0</v>
      </c>
      <c r="M32" s="1431">
        <f t="shared" si="7"/>
        <v>0</v>
      </c>
      <c r="N32" s="1432">
        <f t="shared" si="8"/>
        <v>0</v>
      </c>
      <c r="O32" s="1433">
        <f t="shared" si="9"/>
        <v>0</v>
      </c>
      <c r="P32" s="1434">
        <f t="shared" si="10"/>
        <v>0</v>
      </c>
      <c r="Q32" s="1434">
        <f t="shared" si="11"/>
        <v>0</v>
      </c>
      <c r="R32" s="1434">
        <f t="shared" si="12"/>
        <v>0</v>
      </c>
      <c r="S32" s="1435">
        <f t="shared" si="13"/>
        <v>0</v>
      </c>
      <c r="T32" s="2287">
        <v>0</v>
      </c>
      <c r="U32" s="2287">
        <v>0</v>
      </c>
      <c r="V32" s="2287">
        <v>0</v>
      </c>
      <c r="W32" s="2287">
        <v>0</v>
      </c>
      <c r="X32" s="2287">
        <v>0</v>
      </c>
      <c r="Y32" s="2287">
        <v>0</v>
      </c>
      <c r="Z32" s="2290">
        <v>0</v>
      </c>
      <c r="AA32" s="2236">
        <f t="shared" si="4"/>
        <v>0</v>
      </c>
      <c r="AB32" s="2243"/>
      <c r="AC32" s="2246"/>
      <c r="AD32" s="2320" t="s">
        <v>908</v>
      </c>
      <c r="AE32" s="795"/>
      <c r="AF32" s="791"/>
      <c r="AG32" s="795"/>
      <c r="AH32" s="782"/>
      <c r="AI32" s="782"/>
      <c r="AJ32" s="782"/>
      <c r="AK32" s="791"/>
      <c r="AL32" s="1488" t="s">
        <v>541</v>
      </c>
    </row>
    <row r="33" spans="1:38" ht="34.5" customHeight="1">
      <c r="A33" s="1754"/>
      <c r="B33" s="802">
        <v>20303</v>
      </c>
      <c r="C33" s="803">
        <v>0.1</v>
      </c>
      <c r="D33" s="2233" t="s">
        <v>543</v>
      </c>
      <c r="E33" s="781">
        <v>31</v>
      </c>
      <c r="F33" s="791">
        <v>205</v>
      </c>
      <c r="G33" s="781">
        <v>20</v>
      </c>
      <c r="H33" s="782">
        <v>20</v>
      </c>
      <c r="I33" s="782">
        <v>20</v>
      </c>
      <c r="J33" s="782">
        <v>20</v>
      </c>
      <c r="K33" s="782">
        <v>20</v>
      </c>
      <c r="L33" s="2235">
        <f t="shared" si="6"/>
        <v>100</v>
      </c>
      <c r="M33" s="1431">
        <f t="shared" si="7"/>
        <v>31</v>
      </c>
      <c r="N33" s="1432">
        <f t="shared" si="8"/>
        <v>205</v>
      </c>
      <c r="O33" s="1433">
        <f t="shared" si="9"/>
        <v>20</v>
      </c>
      <c r="P33" s="1434">
        <f t="shared" si="10"/>
        <v>20</v>
      </c>
      <c r="Q33" s="1434">
        <f t="shared" si="11"/>
        <v>20</v>
      </c>
      <c r="R33" s="1434">
        <f t="shared" si="12"/>
        <v>20</v>
      </c>
      <c r="S33" s="1435">
        <f t="shared" si="13"/>
        <v>20</v>
      </c>
      <c r="T33" s="2287">
        <v>0</v>
      </c>
      <c r="U33" s="2287">
        <v>0</v>
      </c>
      <c r="V33" s="2287">
        <v>0</v>
      </c>
      <c r="W33" s="2287">
        <v>0</v>
      </c>
      <c r="X33" s="2287">
        <v>0</v>
      </c>
      <c r="Y33" s="2287">
        <v>0</v>
      </c>
      <c r="Z33" s="2290">
        <v>0</v>
      </c>
      <c r="AA33" s="2236">
        <f t="shared" si="4"/>
        <v>0</v>
      </c>
      <c r="AB33" s="2243"/>
      <c r="AC33" s="2246"/>
      <c r="AD33" s="2320" t="s">
        <v>908</v>
      </c>
      <c r="AE33" s="795"/>
      <c r="AF33" s="791"/>
      <c r="AG33" s="795"/>
      <c r="AH33" s="782"/>
      <c r="AI33" s="782"/>
      <c r="AJ33" s="782"/>
      <c r="AK33" s="791"/>
      <c r="AL33" s="1488" t="s">
        <v>541</v>
      </c>
    </row>
    <row r="34" spans="1:38" ht="36.75" thickBot="1">
      <c r="A34" s="2326"/>
      <c r="B34" s="2327">
        <v>20306</v>
      </c>
      <c r="C34" s="2258">
        <v>0.1</v>
      </c>
      <c r="D34" s="2328" t="s">
        <v>965</v>
      </c>
      <c r="E34" s="785">
        <v>112</v>
      </c>
      <c r="F34" s="1906">
        <v>518</v>
      </c>
      <c r="G34" s="785">
        <v>19</v>
      </c>
      <c r="H34" s="792">
        <v>19</v>
      </c>
      <c r="I34" s="792">
        <v>19</v>
      </c>
      <c r="J34" s="792">
        <v>19</v>
      </c>
      <c r="K34" s="792">
        <v>19</v>
      </c>
      <c r="L34" s="2329">
        <f t="shared" si="6"/>
        <v>95</v>
      </c>
      <c r="M34" s="2260">
        <f t="shared" si="7"/>
        <v>112</v>
      </c>
      <c r="N34" s="2261">
        <f t="shared" si="8"/>
        <v>518</v>
      </c>
      <c r="O34" s="2262">
        <f t="shared" si="9"/>
        <v>19</v>
      </c>
      <c r="P34" s="2263">
        <f t="shared" si="10"/>
        <v>19</v>
      </c>
      <c r="Q34" s="2263">
        <f t="shared" si="11"/>
        <v>19</v>
      </c>
      <c r="R34" s="2263">
        <f t="shared" si="12"/>
        <v>19</v>
      </c>
      <c r="S34" s="2264">
        <f t="shared" si="13"/>
        <v>19</v>
      </c>
      <c r="T34" s="2287">
        <v>0</v>
      </c>
      <c r="U34" s="2287">
        <v>0</v>
      </c>
      <c r="V34" s="2287">
        <v>0</v>
      </c>
      <c r="W34" s="2287">
        <v>0</v>
      </c>
      <c r="X34" s="2287">
        <v>0</v>
      </c>
      <c r="Y34" s="2287">
        <v>0</v>
      </c>
      <c r="Z34" s="2290">
        <v>0</v>
      </c>
      <c r="AA34" s="2330">
        <f t="shared" si="4"/>
        <v>0</v>
      </c>
      <c r="AB34" s="2331"/>
      <c r="AC34" s="2332"/>
      <c r="AD34" s="2333" t="s">
        <v>908</v>
      </c>
      <c r="AE34" s="1907"/>
      <c r="AF34" s="1906"/>
      <c r="AG34" s="1907"/>
      <c r="AH34" s="792"/>
      <c r="AI34" s="792"/>
      <c r="AJ34" s="792"/>
      <c r="AK34" s="1906"/>
      <c r="AL34" s="2334" t="s">
        <v>898</v>
      </c>
    </row>
    <row r="35" spans="1:38" ht="27.75" customHeight="1" thickBot="1">
      <c r="A35" s="2301">
        <v>1.2</v>
      </c>
      <c r="B35" s="2301"/>
      <c r="C35" s="2302"/>
      <c r="D35" s="2303" t="s">
        <v>544</v>
      </c>
      <c r="E35" s="2304">
        <f t="shared" ref="E35:Z35" si="14">SUM(E36:E46)</f>
        <v>4</v>
      </c>
      <c r="F35" s="2305">
        <f t="shared" si="14"/>
        <v>55</v>
      </c>
      <c r="G35" s="2306">
        <f t="shared" si="14"/>
        <v>1713</v>
      </c>
      <c r="H35" s="2307">
        <f t="shared" si="14"/>
        <v>38</v>
      </c>
      <c r="I35" s="2307">
        <f t="shared" si="14"/>
        <v>72</v>
      </c>
      <c r="J35" s="2307">
        <f t="shared" si="14"/>
        <v>61</v>
      </c>
      <c r="K35" s="2308">
        <f t="shared" si="14"/>
        <v>43</v>
      </c>
      <c r="L35" s="2309">
        <f t="shared" si="14"/>
        <v>1927</v>
      </c>
      <c r="M35" s="2304">
        <f t="shared" si="14"/>
        <v>4</v>
      </c>
      <c r="N35" s="2305">
        <f t="shared" si="14"/>
        <v>55</v>
      </c>
      <c r="O35" s="2306">
        <f t="shared" si="14"/>
        <v>1713</v>
      </c>
      <c r="P35" s="2307">
        <f t="shared" si="14"/>
        <v>38</v>
      </c>
      <c r="Q35" s="2307">
        <f t="shared" si="14"/>
        <v>72</v>
      </c>
      <c r="R35" s="2307">
        <f t="shared" si="14"/>
        <v>61</v>
      </c>
      <c r="S35" s="2310">
        <f t="shared" si="14"/>
        <v>43</v>
      </c>
      <c r="T35" s="2304">
        <f t="shared" si="14"/>
        <v>0</v>
      </c>
      <c r="U35" s="2305">
        <f t="shared" si="14"/>
        <v>0</v>
      </c>
      <c r="V35" s="2306">
        <f t="shared" si="14"/>
        <v>0</v>
      </c>
      <c r="W35" s="2307">
        <f t="shared" si="14"/>
        <v>0</v>
      </c>
      <c r="X35" s="2307">
        <f t="shared" si="14"/>
        <v>0</v>
      </c>
      <c r="Y35" s="2307">
        <f t="shared" si="14"/>
        <v>0</v>
      </c>
      <c r="Z35" s="2308">
        <f t="shared" si="14"/>
        <v>0</v>
      </c>
      <c r="AA35" s="2341">
        <f t="shared" si="4"/>
        <v>0</v>
      </c>
      <c r="AB35" s="2342"/>
      <c r="AC35" s="2343"/>
      <c r="AD35" s="2344"/>
      <c r="AE35" s="2345"/>
      <c r="AF35" s="2345"/>
      <c r="AG35" s="2346"/>
      <c r="AH35" s="2346"/>
      <c r="AI35" s="2346"/>
      <c r="AJ35" s="2346"/>
      <c r="AK35" s="2347"/>
      <c r="AL35" s="2348"/>
    </row>
    <row r="36" spans="1:38" ht="22.5" customHeight="1">
      <c r="A36" s="2335"/>
      <c r="B36" s="2336">
        <v>2040207</v>
      </c>
      <c r="C36" s="2285">
        <v>0.04</v>
      </c>
      <c r="D36" s="2337" t="s">
        <v>545</v>
      </c>
      <c r="E36" s="2287">
        <v>0</v>
      </c>
      <c r="F36" s="2287">
        <v>0</v>
      </c>
      <c r="G36" s="2287">
        <v>0</v>
      </c>
      <c r="H36" s="2287">
        <v>0</v>
      </c>
      <c r="I36" s="2287">
        <v>0</v>
      </c>
      <c r="J36" s="2287">
        <v>0</v>
      </c>
      <c r="K36" s="2287">
        <v>0</v>
      </c>
      <c r="L36" s="2338">
        <f t="shared" si="6"/>
        <v>0</v>
      </c>
      <c r="M36" s="2292">
        <f t="shared" ref="M36:M46" si="15">E36-T36</f>
        <v>0</v>
      </c>
      <c r="N36" s="2293">
        <f t="shared" ref="N36:N46" si="16">F36-U36</f>
        <v>0</v>
      </c>
      <c r="O36" s="2294">
        <f t="shared" ref="O36:O46" si="17">G36-V36</f>
        <v>0</v>
      </c>
      <c r="P36" s="2295">
        <f t="shared" ref="P36:P46" si="18">H36-W36</f>
        <v>0</v>
      </c>
      <c r="Q36" s="2295">
        <f t="shared" ref="Q36:Q46" si="19">I36-X36</f>
        <v>0</v>
      </c>
      <c r="R36" s="2295">
        <f t="shared" ref="R36:R46" si="20">J36-Y36</f>
        <v>0</v>
      </c>
      <c r="S36" s="2296">
        <f t="shared" ref="S36:S46" si="21">K36-Z36</f>
        <v>0</v>
      </c>
      <c r="T36" s="2287">
        <v>0</v>
      </c>
      <c r="U36" s="2287">
        <v>0</v>
      </c>
      <c r="V36" s="2287">
        <v>0</v>
      </c>
      <c r="W36" s="2287">
        <v>0</v>
      </c>
      <c r="X36" s="2287">
        <v>0</v>
      </c>
      <c r="Y36" s="2287">
        <v>0</v>
      </c>
      <c r="Z36" s="2290">
        <v>0</v>
      </c>
      <c r="AA36" s="2339">
        <f t="shared" si="4"/>
        <v>0</v>
      </c>
      <c r="AB36" s="2298"/>
      <c r="AC36" s="2299"/>
      <c r="AD36" s="2319" t="s">
        <v>908</v>
      </c>
      <c r="AE36" s="2289"/>
      <c r="AF36" s="2288"/>
      <c r="AG36" s="2289"/>
      <c r="AH36" s="2290"/>
      <c r="AI36" s="2290"/>
      <c r="AJ36" s="2290"/>
      <c r="AK36" s="2288"/>
      <c r="AL36" s="2340" t="s">
        <v>1459</v>
      </c>
    </row>
    <row r="37" spans="1:38" ht="24">
      <c r="A37" s="808"/>
      <c r="B37" s="807">
        <v>2040206</v>
      </c>
      <c r="C37" s="805">
        <v>0.02</v>
      </c>
      <c r="D37" s="806" t="s">
        <v>887</v>
      </c>
      <c r="E37" s="2287">
        <v>0</v>
      </c>
      <c r="F37" s="2287">
        <v>0</v>
      </c>
      <c r="G37" s="2287">
        <v>0</v>
      </c>
      <c r="H37" s="2287">
        <v>0</v>
      </c>
      <c r="I37" s="2287">
        <v>0</v>
      </c>
      <c r="J37" s="2287">
        <v>0</v>
      </c>
      <c r="K37" s="2287">
        <v>0</v>
      </c>
      <c r="L37" s="804">
        <f t="shared" si="6"/>
        <v>0</v>
      </c>
      <c r="M37" s="1431">
        <f t="shared" si="15"/>
        <v>0</v>
      </c>
      <c r="N37" s="1432">
        <f t="shared" si="16"/>
        <v>0</v>
      </c>
      <c r="O37" s="1433">
        <f t="shared" si="17"/>
        <v>0</v>
      </c>
      <c r="P37" s="1434">
        <f t="shared" si="18"/>
        <v>0</v>
      </c>
      <c r="Q37" s="1434">
        <f t="shared" si="19"/>
        <v>0</v>
      </c>
      <c r="R37" s="1434">
        <f t="shared" si="20"/>
        <v>0</v>
      </c>
      <c r="S37" s="1435">
        <f t="shared" si="21"/>
        <v>0</v>
      </c>
      <c r="T37" s="2287">
        <v>0</v>
      </c>
      <c r="U37" s="2287">
        <v>0</v>
      </c>
      <c r="V37" s="2287">
        <v>0</v>
      </c>
      <c r="W37" s="2287">
        <v>0</v>
      </c>
      <c r="X37" s="2287">
        <v>0</v>
      </c>
      <c r="Y37" s="2287">
        <v>0</v>
      </c>
      <c r="Z37" s="2290">
        <v>0</v>
      </c>
      <c r="AA37" s="836">
        <f t="shared" si="4"/>
        <v>0</v>
      </c>
      <c r="AB37" s="2243"/>
      <c r="AC37" s="2246"/>
      <c r="AD37" s="2320" t="s">
        <v>909</v>
      </c>
      <c r="AE37" s="795"/>
      <c r="AF37" s="791"/>
      <c r="AG37" s="795"/>
      <c r="AH37" s="782"/>
      <c r="AI37" s="782"/>
      <c r="AJ37" s="782"/>
      <c r="AK37" s="791"/>
      <c r="AL37" s="1489" t="s">
        <v>897</v>
      </c>
    </row>
    <row r="38" spans="1:38" ht="24">
      <c r="A38" s="808"/>
      <c r="B38" s="807">
        <v>2040206</v>
      </c>
      <c r="C38" s="805">
        <v>0.02</v>
      </c>
      <c r="D38" s="806" t="s">
        <v>546</v>
      </c>
      <c r="E38" s="781">
        <v>4</v>
      </c>
      <c r="F38" s="791">
        <v>55</v>
      </c>
      <c r="G38" s="795">
        <v>43</v>
      </c>
      <c r="H38" s="782">
        <v>38</v>
      </c>
      <c r="I38" s="782">
        <v>72</v>
      </c>
      <c r="J38" s="782">
        <v>61</v>
      </c>
      <c r="K38" s="782">
        <v>43</v>
      </c>
      <c r="L38" s="804">
        <f t="shared" si="6"/>
        <v>257</v>
      </c>
      <c r="M38" s="1431">
        <f t="shared" si="15"/>
        <v>4</v>
      </c>
      <c r="N38" s="1432">
        <f t="shared" si="16"/>
        <v>55</v>
      </c>
      <c r="O38" s="1433">
        <f t="shared" si="17"/>
        <v>43</v>
      </c>
      <c r="P38" s="1434">
        <f t="shared" si="18"/>
        <v>38</v>
      </c>
      <c r="Q38" s="1434">
        <f t="shared" si="19"/>
        <v>72</v>
      </c>
      <c r="R38" s="1434">
        <f t="shared" si="20"/>
        <v>61</v>
      </c>
      <c r="S38" s="1435">
        <f t="shared" si="21"/>
        <v>43</v>
      </c>
      <c r="T38" s="2287">
        <v>0</v>
      </c>
      <c r="U38" s="2287">
        <v>0</v>
      </c>
      <c r="V38" s="2287">
        <v>0</v>
      </c>
      <c r="W38" s="2287">
        <v>0</v>
      </c>
      <c r="X38" s="2287">
        <v>0</v>
      </c>
      <c r="Y38" s="2287">
        <v>0</v>
      </c>
      <c r="Z38" s="2290">
        <v>0</v>
      </c>
      <c r="AA38" s="836">
        <f t="shared" si="4"/>
        <v>0</v>
      </c>
      <c r="AB38" s="2243"/>
      <c r="AC38" s="2246"/>
      <c r="AD38" s="2320" t="s">
        <v>909</v>
      </c>
      <c r="AE38" s="795"/>
      <c r="AF38" s="791"/>
      <c r="AG38" s="795"/>
      <c r="AH38" s="782"/>
      <c r="AI38" s="782"/>
      <c r="AJ38" s="782"/>
      <c r="AK38" s="791"/>
      <c r="AL38" s="1488" t="s">
        <v>547</v>
      </c>
    </row>
    <row r="39" spans="1:38" ht="17.25" customHeight="1">
      <c r="A39" s="808"/>
      <c r="B39" s="807">
        <v>2040206</v>
      </c>
      <c r="C39" s="805">
        <v>0.02</v>
      </c>
      <c r="D39" s="1758" t="s">
        <v>548</v>
      </c>
      <c r="E39" s="781">
        <v>0</v>
      </c>
      <c r="F39" s="781">
        <v>0</v>
      </c>
      <c r="G39" s="781">
        <v>0</v>
      </c>
      <c r="H39" s="781">
        <v>0</v>
      </c>
      <c r="I39" s="781">
        <v>0</v>
      </c>
      <c r="J39" s="781">
        <v>0</v>
      </c>
      <c r="K39" s="781">
        <v>0</v>
      </c>
      <c r="L39" s="804">
        <f t="shared" si="6"/>
        <v>0</v>
      </c>
      <c r="M39" s="1431">
        <f t="shared" si="15"/>
        <v>0</v>
      </c>
      <c r="N39" s="1432">
        <f t="shared" si="16"/>
        <v>0</v>
      </c>
      <c r="O39" s="1433">
        <f t="shared" si="17"/>
        <v>0</v>
      </c>
      <c r="P39" s="1434">
        <f t="shared" si="18"/>
        <v>0</v>
      </c>
      <c r="Q39" s="1434">
        <f t="shared" si="19"/>
        <v>0</v>
      </c>
      <c r="R39" s="1434">
        <f t="shared" si="20"/>
        <v>0</v>
      </c>
      <c r="S39" s="1435">
        <f t="shared" si="21"/>
        <v>0</v>
      </c>
      <c r="T39" s="2287">
        <v>0</v>
      </c>
      <c r="U39" s="2287">
        <v>0</v>
      </c>
      <c r="V39" s="2287">
        <v>0</v>
      </c>
      <c r="W39" s="2287">
        <v>0</v>
      </c>
      <c r="X39" s="2287">
        <v>0</v>
      </c>
      <c r="Y39" s="2287">
        <v>0</v>
      </c>
      <c r="Z39" s="2290">
        <v>0</v>
      </c>
      <c r="AA39" s="836">
        <f t="shared" si="4"/>
        <v>0</v>
      </c>
      <c r="AB39" s="2243"/>
      <c r="AC39" s="2246"/>
      <c r="AD39" s="2320" t="s">
        <v>908</v>
      </c>
      <c r="AE39" s="795"/>
      <c r="AF39" s="791"/>
      <c r="AG39" s="795"/>
      <c r="AH39" s="782"/>
      <c r="AI39" s="782"/>
      <c r="AJ39" s="782"/>
      <c r="AK39" s="791"/>
      <c r="AL39" s="1488" t="s">
        <v>532</v>
      </c>
    </row>
    <row r="40" spans="1:38" ht="17.25" customHeight="1">
      <c r="A40" s="808"/>
      <c r="B40" s="802">
        <v>2030503</v>
      </c>
      <c r="C40" s="803">
        <v>0.1</v>
      </c>
      <c r="D40" s="1758" t="s">
        <v>895</v>
      </c>
      <c r="E40" s="781">
        <v>0</v>
      </c>
      <c r="F40" s="781">
        <v>0</v>
      </c>
      <c r="G40" s="781">
        <v>0</v>
      </c>
      <c r="H40" s="781">
        <v>0</v>
      </c>
      <c r="I40" s="781">
        <v>0</v>
      </c>
      <c r="J40" s="781">
        <v>0</v>
      </c>
      <c r="K40" s="781">
        <v>0</v>
      </c>
      <c r="L40" s="804">
        <f t="shared" si="6"/>
        <v>0</v>
      </c>
      <c r="M40" s="1431">
        <f t="shared" si="15"/>
        <v>0</v>
      </c>
      <c r="N40" s="1432">
        <f t="shared" si="16"/>
        <v>0</v>
      </c>
      <c r="O40" s="1433">
        <f t="shared" si="17"/>
        <v>0</v>
      </c>
      <c r="P40" s="1434">
        <f t="shared" si="18"/>
        <v>0</v>
      </c>
      <c r="Q40" s="1434">
        <f t="shared" si="19"/>
        <v>0</v>
      </c>
      <c r="R40" s="1434">
        <f t="shared" si="20"/>
        <v>0</v>
      </c>
      <c r="S40" s="1435">
        <f t="shared" si="21"/>
        <v>0</v>
      </c>
      <c r="T40" s="2287">
        <v>0</v>
      </c>
      <c r="U40" s="2287">
        <v>0</v>
      </c>
      <c r="V40" s="2287">
        <v>0</v>
      </c>
      <c r="W40" s="2287">
        <v>0</v>
      </c>
      <c r="X40" s="2287">
        <v>0</v>
      </c>
      <c r="Y40" s="2287">
        <v>0</v>
      </c>
      <c r="Z40" s="2290">
        <v>0</v>
      </c>
      <c r="AA40" s="836">
        <f t="shared" si="4"/>
        <v>0</v>
      </c>
      <c r="AB40" s="2243"/>
      <c r="AC40" s="2246"/>
      <c r="AD40" s="2320" t="s">
        <v>908</v>
      </c>
      <c r="AE40" s="795"/>
      <c r="AF40" s="791"/>
      <c r="AG40" s="795"/>
      <c r="AH40" s="782"/>
      <c r="AI40" s="782"/>
      <c r="AJ40" s="782"/>
      <c r="AK40" s="791"/>
      <c r="AL40" s="1488" t="s">
        <v>537</v>
      </c>
    </row>
    <row r="41" spans="1:38" ht="24">
      <c r="A41" s="808"/>
      <c r="B41" s="802">
        <v>215</v>
      </c>
      <c r="C41" s="1769">
        <v>0.2</v>
      </c>
      <c r="D41" s="1758" t="s">
        <v>549</v>
      </c>
      <c r="E41" s="781">
        <v>0</v>
      </c>
      <c r="F41" s="781">
        <v>0</v>
      </c>
      <c r="G41" s="781">
        <v>0</v>
      </c>
      <c r="H41" s="781">
        <v>0</v>
      </c>
      <c r="I41" s="781">
        <v>0</v>
      </c>
      <c r="J41" s="781">
        <v>0</v>
      </c>
      <c r="K41" s="781">
        <v>0</v>
      </c>
      <c r="L41" s="804">
        <f t="shared" si="6"/>
        <v>0</v>
      </c>
      <c r="M41" s="1431">
        <f t="shared" si="15"/>
        <v>0</v>
      </c>
      <c r="N41" s="1432">
        <f t="shared" si="16"/>
        <v>0</v>
      </c>
      <c r="O41" s="1433">
        <f t="shared" si="17"/>
        <v>0</v>
      </c>
      <c r="P41" s="1434">
        <f t="shared" si="18"/>
        <v>0</v>
      </c>
      <c r="Q41" s="1434">
        <f t="shared" si="19"/>
        <v>0</v>
      </c>
      <c r="R41" s="1434">
        <f t="shared" si="20"/>
        <v>0</v>
      </c>
      <c r="S41" s="1435">
        <f t="shared" si="21"/>
        <v>0</v>
      </c>
      <c r="T41" s="2287">
        <v>0</v>
      </c>
      <c r="U41" s="2287">
        <v>0</v>
      </c>
      <c r="V41" s="2287">
        <v>0</v>
      </c>
      <c r="W41" s="2287">
        <v>0</v>
      </c>
      <c r="X41" s="2287">
        <v>0</v>
      </c>
      <c r="Y41" s="2287">
        <v>0</v>
      </c>
      <c r="Z41" s="2290">
        <v>0</v>
      </c>
      <c r="AA41" s="836">
        <f t="shared" si="4"/>
        <v>0</v>
      </c>
      <c r="AB41" s="2243"/>
      <c r="AC41" s="2246"/>
      <c r="AD41" s="1383" t="s">
        <v>380</v>
      </c>
      <c r="AE41" s="2323"/>
      <c r="AF41" s="2238"/>
      <c r="AG41" s="2237"/>
      <c r="AH41" s="2239"/>
      <c r="AI41" s="2239"/>
      <c r="AJ41" s="2239"/>
      <c r="AK41" s="2240"/>
      <c r="AL41" s="1488" t="s">
        <v>536</v>
      </c>
    </row>
    <row r="42" spans="1:38" ht="24">
      <c r="A42" s="1755"/>
      <c r="B42" s="807">
        <v>20502</v>
      </c>
      <c r="C42" s="805">
        <v>0.1</v>
      </c>
      <c r="D42" s="1758" t="s">
        <v>550</v>
      </c>
      <c r="E42" s="781">
        <v>0</v>
      </c>
      <c r="F42" s="781">
        <v>0</v>
      </c>
      <c r="G42" s="781">
        <v>0</v>
      </c>
      <c r="H42" s="781">
        <v>0</v>
      </c>
      <c r="I42" s="781">
        <v>0</v>
      </c>
      <c r="J42" s="781">
        <v>0</v>
      </c>
      <c r="K42" s="781">
        <v>0</v>
      </c>
      <c r="L42" s="804">
        <f t="shared" si="6"/>
        <v>0</v>
      </c>
      <c r="M42" s="1431">
        <f t="shared" si="15"/>
        <v>0</v>
      </c>
      <c r="N42" s="1432">
        <f t="shared" si="16"/>
        <v>0</v>
      </c>
      <c r="O42" s="1433">
        <f t="shared" si="17"/>
        <v>0</v>
      </c>
      <c r="P42" s="1434">
        <f t="shared" si="18"/>
        <v>0</v>
      </c>
      <c r="Q42" s="1434">
        <f t="shared" si="19"/>
        <v>0</v>
      </c>
      <c r="R42" s="1434">
        <f t="shared" si="20"/>
        <v>0</v>
      </c>
      <c r="S42" s="1435">
        <f t="shared" si="21"/>
        <v>0</v>
      </c>
      <c r="T42" s="2287">
        <v>0</v>
      </c>
      <c r="U42" s="2287">
        <v>0</v>
      </c>
      <c r="V42" s="2287">
        <v>0</v>
      </c>
      <c r="W42" s="2287">
        <v>0</v>
      </c>
      <c r="X42" s="2287">
        <v>0</v>
      </c>
      <c r="Y42" s="2287">
        <v>0</v>
      </c>
      <c r="Z42" s="2290">
        <v>0</v>
      </c>
      <c r="AA42" s="836">
        <f t="shared" si="4"/>
        <v>0</v>
      </c>
      <c r="AB42" s="2243"/>
      <c r="AC42" s="2246"/>
      <c r="AD42" s="2320" t="s">
        <v>908</v>
      </c>
      <c r="AE42" s="795"/>
      <c r="AF42" s="791"/>
      <c r="AG42" s="795"/>
      <c r="AH42" s="782"/>
      <c r="AI42" s="782"/>
      <c r="AJ42" s="782"/>
      <c r="AK42" s="791"/>
      <c r="AL42" s="1488" t="s">
        <v>541</v>
      </c>
    </row>
    <row r="43" spans="1:38" ht="24">
      <c r="A43" s="1755"/>
      <c r="B43" s="807">
        <v>20501</v>
      </c>
      <c r="C43" s="805">
        <v>0.08</v>
      </c>
      <c r="D43" s="1758" t="s">
        <v>551</v>
      </c>
      <c r="E43" s="781">
        <v>0</v>
      </c>
      <c r="F43" s="781">
        <v>0</v>
      </c>
      <c r="G43" s="781">
        <v>250</v>
      </c>
      <c r="H43" s="781">
        <v>0</v>
      </c>
      <c r="I43" s="781">
        <v>0</v>
      </c>
      <c r="J43" s="781">
        <v>0</v>
      </c>
      <c r="K43" s="781">
        <v>0</v>
      </c>
      <c r="L43" s="804">
        <f t="shared" si="6"/>
        <v>250</v>
      </c>
      <c r="M43" s="1431">
        <f t="shared" si="15"/>
        <v>0</v>
      </c>
      <c r="N43" s="1432">
        <f t="shared" si="16"/>
        <v>0</v>
      </c>
      <c r="O43" s="1433">
        <f t="shared" si="17"/>
        <v>250</v>
      </c>
      <c r="P43" s="1434">
        <f t="shared" si="18"/>
        <v>0</v>
      </c>
      <c r="Q43" s="1434">
        <f t="shared" si="19"/>
        <v>0</v>
      </c>
      <c r="R43" s="1434">
        <f t="shared" si="20"/>
        <v>0</v>
      </c>
      <c r="S43" s="1435">
        <f t="shared" si="21"/>
        <v>0</v>
      </c>
      <c r="T43" s="2287">
        <v>0</v>
      </c>
      <c r="U43" s="2287">
        <v>0</v>
      </c>
      <c r="V43" s="2287">
        <v>0</v>
      </c>
      <c r="W43" s="2287">
        <v>0</v>
      </c>
      <c r="X43" s="2287">
        <v>0</v>
      </c>
      <c r="Y43" s="2287">
        <v>0</v>
      </c>
      <c r="Z43" s="2290">
        <v>0</v>
      </c>
      <c r="AA43" s="836">
        <f t="shared" si="4"/>
        <v>0</v>
      </c>
      <c r="AB43" s="2243"/>
      <c r="AC43" s="2246"/>
      <c r="AD43" s="2320" t="s">
        <v>908</v>
      </c>
      <c r="AE43" s="795"/>
      <c r="AF43" s="791"/>
      <c r="AG43" s="795"/>
      <c r="AH43" s="782"/>
      <c r="AI43" s="782"/>
      <c r="AJ43" s="782"/>
      <c r="AK43" s="791"/>
      <c r="AL43" s="1488" t="s">
        <v>541</v>
      </c>
    </row>
    <row r="44" spans="1:38" ht="24">
      <c r="A44" s="1755"/>
      <c r="B44" s="807">
        <v>20503</v>
      </c>
      <c r="C44" s="805">
        <v>0.1</v>
      </c>
      <c r="D44" s="1758" t="s">
        <v>904</v>
      </c>
      <c r="E44" s="781">
        <v>0</v>
      </c>
      <c r="F44" s="781">
        <v>0</v>
      </c>
      <c r="G44" s="781">
        <v>1200</v>
      </c>
      <c r="H44" s="781">
        <v>0</v>
      </c>
      <c r="I44" s="781">
        <v>0</v>
      </c>
      <c r="J44" s="781">
        <v>0</v>
      </c>
      <c r="K44" s="781">
        <v>0</v>
      </c>
      <c r="L44" s="804">
        <f t="shared" si="6"/>
        <v>1200</v>
      </c>
      <c r="M44" s="1431">
        <f t="shared" si="15"/>
        <v>0</v>
      </c>
      <c r="N44" s="1432">
        <f t="shared" si="16"/>
        <v>0</v>
      </c>
      <c r="O44" s="1433">
        <f t="shared" si="17"/>
        <v>1200</v>
      </c>
      <c r="P44" s="1434">
        <f t="shared" si="18"/>
        <v>0</v>
      </c>
      <c r="Q44" s="1434">
        <f t="shared" si="19"/>
        <v>0</v>
      </c>
      <c r="R44" s="1434">
        <f t="shared" si="20"/>
        <v>0</v>
      </c>
      <c r="S44" s="1435">
        <f t="shared" si="21"/>
        <v>0</v>
      </c>
      <c r="T44" s="2287">
        <v>0</v>
      </c>
      <c r="U44" s="2287">
        <v>0</v>
      </c>
      <c r="V44" s="2287">
        <v>0</v>
      </c>
      <c r="W44" s="2287">
        <v>0</v>
      </c>
      <c r="X44" s="2287">
        <v>0</v>
      </c>
      <c r="Y44" s="2287">
        <v>0</v>
      </c>
      <c r="Z44" s="2290">
        <v>0</v>
      </c>
      <c r="AA44" s="836">
        <f t="shared" si="4"/>
        <v>0</v>
      </c>
      <c r="AB44" s="2243"/>
      <c r="AC44" s="2246"/>
      <c r="AD44" s="2320" t="s">
        <v>908</v>
      </c>
      <c r="AE44" s="795"/>
      <c r="AF44" s="791"/>
      <c r="AG44" s="795"/>
      <c r="AH44" s="782"/>
      <c r="AI44" s="782"/>
      <c r="AJ44" s="782"/>
      <c r="AK44" s="791"/>
      <c r="AL44" s="1488" t="s">
        <v>541</v>
      </c>
    </row>
    <row r="45" spans="1:38" ht="36">
      <c r="A45" s="1755"/>
      <c r="B45" s="807">
        <v>20303</v>
      </c>
      <c r="C45" s="803">
        <v>0.1</v>
      </c>
      <c r="D45" s="806" t="s">
        <v>888</v>
      </c>
      <c r="E45" s="781">
        <v>0</v>
      </c>
      <c r="F45" s="781">
        <v>0</v>
      </c>
      <c r="G45" s="781">
        <v>220</v>
      </c>
      <c r="H45" s="781">
        <v>0</v>
      </c>
      <c r="I45" s="781">
        <v>0</v>
      </c>
      <c r="J45" s="781">
        <v>0</v>
      </c>
      <c r="K45" s="781">
        <v>0</v>
      </c>
      <c r="L45" s="804">
        <f t="shared" si="6"/>
        <v>220</v>
      </c>
      <c r="M45" s="1431">
        <f t="shared" si="15"/>
        <v>0</v>
      </c>
      <c r="N45" s="1432">
        <f t="shared" si="16"/>
        <v>0</v>
      </c>
      <c r="O45" s="1433">
        <f t="shared" si="17"/>
        <v>220</v>
      </c>
      <c r="P45" s="1434">
        <f t="shared" si="18"/>
        <v>0</v>
      </c>
      <c r="Q45" s="1434">
        <f t="shared" si="19"/>
        <v>0</v>
      </c>
      <c r="R45" s="1434">
        <f t="shared" si="20"/>
        <v>0</v>
      </c>
      <c r="S45" s="1435">
        <f t="shared" si="21"/>
        <v>0</v>
      </c>
      <c r="T45" s="2287">
        <v>0</v>
      </c>
      <c r="U45" s="2287">
        <v>0</v>
      </c>
      <c r="V45" s="2287">
        <v>0</v>
      </c>
      <c r="W45" s="2287">
        <v>0</v>
      </c>
      <c r="X45" s="2287">
        <v>0</v>
      </c>
      <c r="Y45" s="2287">
        <v>0</v>
      </c>
      <c r="Z45" s="2290">
        <v>0</v>
      </c>
      <c r="AA45" s="836">
        <f t="shared" si="4"/>
        <v>0</v>
      </c>
      <c r="AB45" s="2243"/>
      <c r="AC45" s="2246"/>
      <c r="AD45" s="2320" t="s">
        <v>908</v>
      </c>
      <c r="AE45" s="795"/>
      <c r="AF45" s="791"/>
      <c r="AG45" s="795"/>
      <c r="AH45" s="782"/>
      <c r="AI45" s="782"/>
      <c r="AJ45" s="782"/>
      <c r="AK45" s="791"/>
      <c r="AL45" s="1489" t="s">
        <v>1458</v>
      </c>
    </row>
    <row r="46" spans="1:38" ht="36.75" thickBot="1">
      <c r="A46" s="2256"/>
      <c r="B46" s="2349">
        <v>20306</v>
      </c>
      <c r="C46" s="2258">
        <v>0.1</v>
      </c>
      <c r="D46" s="2259" t="s">
        <v>964</v>
      </c>
      <c r="E46" s="781">
        <v>0</v>
      </c>
      <c r="F46" s="781">
        <v>0</v>
      </c>
      <c r="G46" s="781">
        <v>0</v>
      </c>
      <c r="H46" s="781">
        <v>0</v>
      </c>
      <c r="I46" s="781">
        <v>0</v>
      </c>
      <c r="J46" s="781">
        <v>0</v>
      </c>
      <c r="K46" s="781">
        <v>0</v>
      </c>
      <c r="L46" s="1484">
        <f t="shared" si="6"/>
        <v>0</v>
      </c>
      <c r="M46" s="2260">
        <f t="shared" si="15"/>
        <v>0</v>
      </c>
      <c r="N46" s="2261">
        <f t="shared" si="16"/>
        <v>0</v>
      </c>
      <c r="O46" s="2262">
        <f t="shared" si="17"/>
        <v>0</v>
      </c>
      <c r="P46" s="2263">
        <f t="shared" si="18"/>
        <v>0</v>
      </c>
      <c r="Q46" s="2263">
        <f t="shared" si="19"/>
        <v>0</v>
      </c>
      <c r="R46" s="2263">
        <f t="shared" si="20"/>
        <v>0</v>
      </c>
      <c r="S46" s="2264">
        <f t="shared" si="21"/>
        <v>0</v>
      </c>
      <c r="T46" s="2287">
        <v>0</v>
      </c>
      <c r="U46" s="2287">
        <v>0</v>
      </c>
      <c r="V46" s="2287">
        <v>0</v>
      </c>
      <c r="W46" s="2287">
        <v>0</v>
      </c>
      <c r="X46" s="2287">
        <v>0</v>
      </c>
      <c r="Y46" s="2287">
        <v>0</v>
      </c>
      <c r="Z46" s="2290">
        <v>0</v>
      </c>
      <c r="AA46" s="2265">
        <f t="shared" si="4"/>
        <v>0</v>
      </c>
      <c r="AB46" s="2331"/>
      <c r="AC46" s="2332"/>
      <c r="AD46" s="2333" t="s">
        <v>908</v>
      </c>
      <c r="AE46" s="1907"/>
      <c r="AF46" s="1906"/>
      <c r="AG46" s="1907"/>
      <c r="AH46" s="792"/>
      <c r="AI46" s="792"/>
      <c r="AJ46" s="792"/>
      <c r="AK46" s="1906"/>
      <c r="AL46" s="2334" t="s">
        <v>1457</v>
      </c>
    </row>
    <row r="47" spans="1:38" ht="24.75" thickBot="1">
      <c r="A47" s="2301">
        <v>1.3</v>
      </c>
      <c r="B47" s="2301"/>
      <c r="C47" s="2302"/>
      <c r="D47" s="2303" t="s">
        <v>552</v>
      </c>
      <c r="E47" s="2304">
        <f t="shared" ref="E47:K47" si="22">SUM(E48:E55)</f>
        <v>65</v>
      </c>
      <c r="F47" s="2305">
        <f t="shared" si="22"/>
        <v>30</v>
      </c>
      <c r="G47" s="2306">
        <f t="shared" si="22"/>
        <v>59</v>
      </c>
      <c r="H47" s="2307">
        <f t="shared" si="22"/>
        <v>444</v>
      </c>
      <c r="I47" s="2307">
        <f t="shared" si="22"/>
        <v>66</v>
      </c>
      <c r="J47" s="2307">
        <f t="shared" si="22"/>
        <v>51</v>
      </c>
      <c r="K47" s="2308">
        <f t="shared" si="22"/>
        <v>61</v>
      </c>
      <c r="L47" s="2309">
        <f t="shared" ref="L47:Z47" si="23">SUM(L48:L55)</f>
        <v>681</v>
      </c>
      <c r="M47" s="2304">
        <f t="shared" si="23"/>
        <v>65</v>
      </c>
      <c r="N47" s="2305">
        <f t="shared" si="23"/>
        <v>30</v>
      </c>
      <c r="O47" s="2306">
        <f t="shared" si="23"/>
        <v>59</v>
      </c>
      <c r="P47" s="2307">
        <f t="shared" si="23"/>
        <v>444</v>
      </c>
      <c r="Q47" s="2307">
        <f t="shared" si="23"/>
        <v>66</v>
      </c>
      <c r="R47" s="2307">
        <f t="shared" si="23"/>
        <v>51</v>
      </c>
      <c r="S47" s="2310">
        <f t="shared" si="23"/>
        <v>61</v>
      </c>
      <c r="T47" s="2304">
        <f t="shared" si="23"/>
        <v>0</v>
      </c>
      <c r="U47" s="2305">
        <f t="shared" si="23"/>
        <v>0</v>
      </c>
      <c r="V47" s="2306">
        <f t="shared" si="23"/>
        <v>0</v>
      </c>
      <c r="W47" s="2307">
        <f t="shared" si="23"/>
        <v>0</v>
      </c>
      <c r="X47" s="2307">
        <f t="shared" si="23"/>
        <v>0</v>
      </c>
      <c r="Y47" s="2307">
        <f t="shared" si="23"/>
        <v>0</v>
      </c>
      <c r="Z47" s="2308">
        <f t="shared" si="23"/>
        <v>0</v>
      </c>
      <c r="AA47" s="2341">
        <f t="shared" si="4"/>
        <v>0</v>
      </c>
      <c r="AB47" s="2342"/>
      <c r="AC47" s="2343"/>
      <c r="AD47" s="2344"/>
      <c r="AE47" s="2345"/>
      <c r="AF47" s="2345"/>
      <c r="AG47" s="2346"/>
      <c r="AH47" s="2346"/>
      <c r="AI47" s="2346"/>
      <c r="AJ47" s="2346"/>
      <c r="AK47" s="2347"/>
      <c r="AL47" s="2348"/>
    </row>
    <row r="48" spans="1:38" ht="15.75" customHeight="1">
      <c r="A48" s="2283"/>
      <c r="B48" s="2336">
        <v>2040207</v>
      </c>
      <c r="C48" s="2285">
        <v>0.04</v>
      </c>
      <c r="D48" s="2350" t="s">
        <v>553</v>
      </c>
      <c r="E48" s="2287">
        <v>0</v>
      </c>
      <c r="F48" s="2288">
        <v>0</v>
      </c>
      <c r="G48" s="2289">
        <v>39</v>
      </c>
      <c r="H48" s="2290">
        <v>34</v>
      </c>
      <c r="I48" s="2290">
        <v>46</v>
      </c>
      <c r="J48" s="2290">
        <v>31</v>
      </c>
      <c r="K48" s="2290">
        <v>41</v>
      </c>
      <c r="L48" s="2338">
        <f t="shared" si="6"/>
        <v>191</v>
      </c>
      <c r="M48" s="2292">
        <f t="shared" ref="M48:M55" si="24">E48-T48</f>
        <v>0</v>
      </c>
      <c r="N48" s="2293">
        <f t="shared" ref="N48:N55" si="25">F48-U48</f>
        <v>0</v>
      </c>
      <c r="O48" s="2294">
        <f t="shared" ref="O48:O55" si="26">G48-V48</f>
        <v>39</v>
      </c>
      <c r="P48" s="2295">
        <f t="shared" ref="P48:P55" si="27">H48-W48</f>
        <v>34</v>
      </c>
      <c r="Q48" s="2295">
        <f t="shared" ref="Q48:Q55" si="28">I48-X48</f>
        <v>46</v>
      </c>
      <c r="R48" s="2295">
        <f t="shared" ref="R48:R55" si="29">J48-Y48</f>
        <v>31</v>
      </c>
      <c r="S48" s="2296">
        <f t="shared" ref="S48:S55" si="30">K48-Z48</f>
        <v>41</v>
      </c>
      <c r="T48" s="2287">
        <v>0</v>
      </c>
      <c r="U48" s="2287">
        <v>0</v>
      </c>
      <c r="V48" s="2287">
        <v>0</v>
      </c>
      <c r="W48" s="2287">
        <v>0</v>
      </c>
      <c r="X48" s="2287">
        <v>0</v>
      </c>
      <c r="Y48" s="2287">
        <v>0</v>
      </c>
      <c r="Z48" s="2290">
        <v>0</v>
      </c>
      <c r="AA48" s="2339">
        <f t="shared" si="4"/>
        <v>0</v>
      </c>
      <c r="AB48" s="2298"/>
      <c r="AC48" s="2299"/>
      <c r="AD48" s="2319" t="s">
        <v>908</v>
      </c>
      <c r="AE48" s="2289"/>
      <c r="AF48" s="2288"/>
      <c r="AG48" s="2289"/>
      <c r="AH48" s="2290"/>
      <c r="AI48" s="2290"/>
      <c r="AJ48" s="2290"/>
      <c r="AK48" s="2288"/>
      <c r="AL48" s="2340" t="s">
        <v>1460</v>
      </c>
    </row>
    <row r="49" spans="1:38" ht="15.75" customHeight="1">
      <c r="A49" s="1753"/>
      <c r="B49" s="807">
        <v>20302</v>
      </c>
      <c r="C49" s="803">
        <v>0.1</v>
      </c>
      <c r="D49" s="1758" t="s">
        <v>554</v>
      </c>
      <c r="E49" s="781">
        <v>0</v>
      </c>
      <c r="F49" s="781">
        <v>0</v>
      </c>
      <c r="G49" s="781">
        <v>0</v>
      </c>
      <c r="H49" s="781">
        <v>0</v>
      </c>
      <c r="I49" s="781">
        <v>0</v>
      </c>
      <c r="J49" s="781">
        <v>0</v>
      </c>
      <c r="K49" s="781">
        <v>0</v>
      </c>
      <c r="L49" s="804">
        <f t="shared" si="6"/>
        <v>0</v>
      </c>
      <c r="M49" s="1431">
        <f t="shared" si="24"/>
        <v>0</v>
      </c>
      <c r="N49" s="1432">
        <f t="shared" si="25"/>
        <v>0</v>
      </c>
      <c r="O49" s="1433">
        <f t="shared" si="26"/>
        <v>0</v>
      </c>
      <c r="P49" s="1434">
        <f t="shared" si="27"/>
        <v>0</v>
      </c>
      <c r="Q49" s="1434">
        <f t="shared" si="28"/>
        <v>0</v>
      </c>
      <c r="R49" s="1434">
        <f t="shared" si="29"/>
        <v>0</v>
      </c>
      <c r="S49" s="1435">
        <f t="shared" si="30"/>
        <v>0</v>
      </c>
      <c r="T49" s="2287">
        <v>0</v>
      </c>
      <c r="U49" s="2287">
        <v>0</v>
      </c>
      <c r="V49" s="2287">
        <v>0</v>
      </c>
      <c r="W49" s="2287">
        <v>0</v>
      </c>
      <c r="X49" s="2287">
        <v>0</v>
      </c>
      <c r="Y49" s="2287">
        <v>0</v>
      </c>
      <c r="Z49" s="2290">
        <v>0</v>
      </c>
      <c r="AA49" s="836">
        <f t="shared" si="4"/>
        <v>0</v>
      </c>
      <c r="AB49" s="2243"/>
      <c r="AC49" s="2246"/>
      <c r="AD49" s="2320" t="s">
        <v>908</v>
      </c>
      <c r="AE49" s="795"/>
      <c r="AF49" s="791"/>
      <c r="AG49" s="795"/>
      <c r="AH49" s="782"/>
      <c r="AI49" s="782"/>
      <c r="AJ49" s="782"/>
      <c r="AK49" s="791"/>
      <c r="AL49" s="1489" t="s">
        <v>539</v>
      </c>
    </row>
    <row r="50" spans="1:38" ht="15.75" customHeight="1">
      <c r="A50" s="1753"/>
      <c r="B50" s="802">
        <v>2030503</v>
      </c>
      <c r="C50" s="803">
        <v>0.1</v>
      </c>
      <c r="D50" s="1758" t="s">
        <v>899</v>
      </c>
      <c r="E50" s="781">
        <v>0</v>
      </c>
      <c r="F50" s="781">
        <v>0</v>
      </c>
      <c r="G50" s="781">
        <v>0</v>
      </c>
      <c r="H50" s="781">
        <v>0</v>
      </c>
      <c r="I50" s="781">
        <v>0</v>
      </c>
      <c r="J50" s="781">
        <v>0</v>
      </c>
      <c r="K50" s="781">
        <v>0</v>
      </c>
      <c r="L50" s="804">
        <f t="shared" si="6"/>
        <v>0</v>
      </c>
      <c r="M50" s="1431">
        <f t="shared" si="24"/>
        <v>0</v>
      </c>
      <c r="N50" s="1432">
        <f t="shared" si="25"/>
        <v>0</v>
      </c>
      <c r="O50" s="1433">
        <f t="shared" si="26"/>
        <v>0</v>
      </c>
      <c r="P50" s="1434">
        <f t="shared" si="27"/>
        <v>0</v>
      </c>
      <c r="Q50" s="1434">
        <f t="shared" si="28"/>
        <v>0</v>
      </c>
      <c r="R50" s="1434">
        <f t="shared" si="29"/>
        <v>0</v>
      </c>
      <c r="S50" s="1435">
        <f t="shared" si="30"/>
        <v>0</v>
      </c>
      <c r="T50" s="2287">
        <v>0</v>
      </c>
      <c r="U50" s="2287">
        <v>0</v>
      </c>
      <c r="V50" s="2287">
        <v>0</v>
      </c>
      <c r="W50" s="2287">
        <v>0</v>
      </c>
      <c r="X50" s="2287">
        <v>0</v>
      </c>
      <c r="Y50" s="2287">
        <v>0</v>
      </c>
      <c r="Z50" s="2290">
        <v>0</v>
      </c>
      <c r="AA50" s="836">
        <f t="shared" si="4"/>
        <v>0</v>
      </c>
      <c r="AB50" s="2243"/>
      <c r="AC50" s="2246"/>
      <c r="AD50" s="2320" t="s">
        <v>908</v>
      </c>
      <c r="AE50" s="795"/>
      <c r="AF50" s="791"/>
      <c r="AG50" s="795"/>
      <c r="AH50" s="782"/>
      <c r="AI50" s="782"/>
      <c r="AJ50" s="782"/>
      <c r="AK50" s="791"/>
      <c r="AL50" s="1489" t="s">
        <v>537</v>
      </c>
    </row>
    <row r="51" spans="1:38" ht="24">
      <c r="A51" s="1754"/>
      <c r="B51" s="807">
        <v>20502</v>
      </c>
      <c r="C51" s="803">
        <v>0.1</v>
      </c>
      <c r="D51" s="1758" t="s">
        <v>555</v>
      </c>
      <c r="E51" s="781">
        <v>17</v>
      </c>
      <c r="F51" s="791">
        <v>0</v>
      </c>
      <c r="G51" s="791">
        <v>0</v>
      </c>
      <c r="H51" s="791">
        <v>0</v>
      </c>
      <c r="I51" s="791">
        <v>0</v>
      </c>
      <c r="J51" s="791">
        <v>0</v>
      </c>
      <c r="K51" s="791">
        <v>0</v>
      </c>
      <c r="L51" s="804">
        <f t="shared" si="6"/>
        <v>0</v>
      </c>
      <c r="M51" s="1431">
        <f t="shared" si="24"/>
        <v>17</v>
      </c>
      <c r="N51" s="1432">
        <f t="shared" si="25"/>
        <v>0</v>
      </c>
      <c r="O51" s="1433">
        <f t="shared" si="26"/>
        <v>0</v>
      </c>
      <c r="P51" s="1434">
        <f t="shared" si="27"/>
        <v>0</v>
      </c>
      <c r="Q51" s="1434">
        <f t="shared" si="28"/>
        <v>0</v>
      </c>
      <c r="R51" s="1434">
        <f t="shared" si="29"/>
        <v>0</v>
      </c>
      <c r="S51" s="1435">
        <f t="shared" si="30"/>
        <v>0</v>
      </c>
      <c r="T51" s="2287">
        <v>0</v>
      </c>
      <c r="U51" s="2287">
        <v>0</v>
      </c>
      <c r="V51" s="2287">
        <v>0</v>
      </c>
      <c r="W51" s="2287">
        <v>0</v>
      </c>
      <c r="X51" s="2287">
        <v>0</v>
      </c>
      <c r="Y51" s="2287">
        <v>0</v>
      </c>
      <c r="Z51" s="2290">
        <v>0</v>
      </c>
      <c r="AA51" s="836">
        <f t="shared" si="4"/>
        <v>0</v>
      </c>
      <c r="AB51" s="2243"/>
      <c r="AC51" s="2246"/>
      <c r="AD51" s="2320" t="s">
        <v>908</v>
      </c>
      <c r="AE51" s="795"/>
      <c r="AF51" s="791"/>
      <c r="AG51" s="795"/>
      <c r="AH51" s="782"/>
      <c r="AI51" s="782"/>
      <c r="AJ51" s="782"/>
      <c r="AK51" s="791"/>
      <c r="AL51" s="1489" t="s">
        <v>541</v>
      </c>
    </row>
    <row r="52" spans="1:38" ht="24">
      <c r="A52" s="1754"/>
      <c r="B52" s="807">
        <v>20501</v>
      </c>
      <c r="C52" s="803">
        <v>0.08</v>
      </c>
      <c r="D52" s="806" t="s">
        <v>556</v>
      </c>
      <c r="E52" s="781">
        <v>0</v>
      </c>
      <c r="F52" s="781">
        <v>0</v>
      </c>
      <c r="G52" s="781">
        <v>0</v>
      </c>
      <c r="H52" s="781">
        <v>250</v>
      </c>
      <c r="I52" s="781">
        <v>0</v>
      </c>
      <c r="J52" s="781">
        <v>0</v>
      </c>
      <c r="K52" s="781">
        <v>0</v>
      </c>
      <c r="L52" s="804">
        <f t="shared" si="6"/>
        <v>250</v>
      </c>
      <c r="M52" s="1431">
        <f t="shared" si="24"/>
        <v>0</v>
      </c>
      <c r="N52" s="1432">
        <f t="shared" si="25"/>
        <v>0</v>
      </c>
      <c r="O52" s="1433">
        <f t="shared" si="26"/>
        <v>0</v>
      </c>
      <c r="P52" s="1434">
        <f t="shared" si="27"/>
        <v>250</v>
      </c>
      <c r="Q52" s="1434">
        <f t="shared" si="28"/>
        <v>0</v>
      </c>
      <c r="R52" s="1434">
        <f t="shared" si="29"/>
        <v>0</v>
      </c>
      <c r="S52" s="1435">
        <f t="shared" si="30"/>
        <v>0</v>
      </c>
      <c r="T52" s="2287">
        <v>0</v>
      </c>
      <c r="U52" s="2287">
        <v>0</v>
      </c>
      <c r="V52" s="2287">
        <v>0</v>
      </c>
      <c r="W52" s="2287">
        <v>0</v>
      </c>
      <c r="X52" s="2287">
        <v>0</v>
      </c>
      <c r="Y52" s="2287">
        <v>0</v>
      </c>
      <c r="Z52" s="2290">
        <v>0</v>
      </c>
      <c r="AA52" s="836">
        <f t="shared" si="4"/>
        <v>0</v>
      </c>
      <c r="AB52" s="2243"/>
      <c r="AC52" s="2246"/>
      <c r="AD52" s="2320" t="s">
        <v>908</v>
      </c>
      <c r="AE52" s="795"/>
      <c r="AF52" s="791"/>
      <c r="AG52" s="795"/>
      <c r="AH52" s="782"/>
      <c r="AI52" s="782"/>
      <c r="AJ52" s="782"/>
      <c r="AK52" s="791"/>
      <c r="AL52" s="1488" t="s">
        <v>541</v>
      </c>
    </row>
    <row r="53" spans="1:38" ht="24">
      <c r="A53" s="1754"/>
      <c r="B53" s="807">
        <v>20503</v>
      </c>
      <c r="C53" s="803">
        <v>0.1</v>
      </c>
      <c r="D53" s="806" t="s">
        <v>905</v>
      </c>
      <c r="E53" s="781">
        <v>0</v>
      </c>
      <c r="F53" s="781">
        <v>0</v>
      </c>
      <c r="G53" s="781">
        <v>0</v>
      </c>
      <c r="H53" s="781">
        <v>0</v>
      </c>
      <c r="I53" s="781">
        <v>0</v>
      </c>
      <c r="J53" s="781">
        <v>0</v>
      </c>
      <c r="K53" s="781">
        <v>0</v>
      </c>
      <c r="L53" s="804">
        <f t="shared" si="6"/>
        <v>0</v>
      </c>
      <c r="M53" s="1431">
        <f t="shared" si="24"/>
        <v>0</v>
      </c>
      <c r="N53" s="1432">
        <f t="shared" si="25"/>
        <v>0</v>
      </c>
      <c r="O53" s="1433">
        <f t="shared" si="26"/>
        <v>0</v>
      </c>
      <c r="P53" s="1434">
        <f t="shared" si="27"/>
        <v>0</v>
      </c>
      <c r="Q53" s="1434">
        <f t="shared" si="28"/>
        <v>0</v>
      </c>
      <c r="R53" s="1434">
        <f t="shared" si="29"/>
        <v>0</v>
      </c>
      <c r="S53" s="1435">
        <f t="shared" si="30"/>
        <v>0</v>
      </c>
      <c r="T53" s="2287">
        <v>0</v>
      </c>
      <c r="U53" s="2287">
        <v>0</v>
      </c>
      <c r="V53" s="2287">
        <v>0</v>
      </c>
      <c r="W53" s="2287">
        <v>0</v>
      </c>
      <c r="X53" s="2287">
        <v>0</v>
      </c>
      <c r="Y53" s="2287">
        <v>0</v>
      </c>
      <c r="Z53" s="2290">
        <v>0</v>
      </c>
      <c r="AA53" s="836">
        <f t="shared" si="4"/>
        <v>0</v>
      </c>
      <c r="AB53" s="2243"/>
      <c r="AC53" s="2246"/>
      <c r="AD53" s="2320" t="s">
        <v>908</v>
      </c>
      <c r="AE53" s="795"/>
      <c r="AF53" s="791"/>
      <c r="AG53" s="795"/>
      <c r="AH53" s="782"/>
      <c r="AI53" s="782"/>
      <c r="AJ53" s="782"/>
      <c r="AK53" s="791"/>
      <c r="AL53" s="1488" t="s">
        <v>541</v>
      </c>
    </row>
    <row r="54" spans="1:38" ht="24">
      <c r="A54" s="1754"/>
      <c r="B54" s="807">
        <v>20303</v>
      </c>
      <c r="C54" s="803">
        <v>0.1</v>
      </c>
      <c r="D54" s="806" t="s">
        <v>557</v>
      </c>
      <c r="E54" s="781">
        <v>0</v>
      </c>
      <c r="F54" s="791">
        <v>20</v>
      </c>
      <c r="G54" s="795">
        <v>10</v>
      </c>
      <c r="H54" s="782">
        <v>150</v>
      </c>
      <c r="I54" s="782">
        <v>10</v>
      </c>
      <c r="J54" s="782">
        <v>10</v>
      </c>
      <c r="K54" s="782">
        <v>10</v>
      </c>
      <c r="L54" s="804">
        <f t="shared" si="6"/>
        <v>190</v>
      </c>
      <c r="M54" s="1431">
        <f t="shared" si="24"/>
        <v>0</v>
      </c>
      <c r="N54" s="1432">
        <f t="shared" si="25"/>
        <v>20</v>
      </c>
      <c r="O54" s="1433">
        <f t="shared" si="26"/>
        <v>10</v>
      </c>
      <c r="P54" s="1434">
        <f t="shared" si="27"/>
        <v>150</v>
      </c>
      <c r="Q54" s="1434">
        <f t="shared" si="28"/>
        <v>10</v>
      </c>
      <c r="R54" s="1434">
        <f t="shared" si="29"/>
        <v>10</v>
      </c>
      <c r="S54" s="1435">
        <f t="shared" si="30"/>
        <v>10</v>
      </c>
      <c r="T54" s="2287">
        <v>0</v>
      </c>
      <c r="U54" s="2287">
        <v>0</v>
      </c>
      <c r="V54" s="2287">
        <v>0</v>
      </c>
      <c r="W54" s="2287">
        <v>0</v>
      </c>
      <c r="X54" s="2287">
        <v>0</v>
      </c>
      <c r="Y54" s="2287">
        <v>0</v>
      </c>
      <c r="Z54" s="2290">
        <v>0</v>
      </c>
      <c r="AA54" s="836">
        <f t="shared" si="4"/>
        <v>0</v>
      </c>
      <c r="AB54" s="2243"/>
      <c r="AC54" s="2246"/>
      <c r="AD54" s="2320" t="s">
        <v>908</v>
      </c>
      <c r="AE54" s="795"/>
      <c r="AF54" s="791"/>
      <c r="AG54" s="795"/>
      <c r="AH54" s="782"/>
      <c r="AI54" s="782"/>
      <c r="AJ54" s="782"/>
      <c r="AK54" s="791"/>
      <c r="AL54" s="1488" t="s">
        <v>541</v>
      </c>
    </row>
    <row r="55" spans="1:38" ht="24.75" thickBot="1">
      <c r="A55" s="2326"/>
      <c r="B55" s="2349">
        <v>20306</v>
      </c>
      <c r="C55" s="2258">
        <v>0.1</v>
      </c>
      <c r="D55" s="2259" t="s">
        <v>963</v>
      </c>
      <c r="E55" s="785">
        <v>48</v>
      </c>
      <c r="F55" s="1906">
        <v>10</v>
      </c>
      <c r="G55" s="1907">
        <v>10</v>
      </c>
      <c r="H55" s="792">
        <v>10</v>
      </c>
      <c r="I55" s="792">
        <v>10</v>
      </c>
      <c r="J55" s="792">
        <v>10</v>
      </c>
      <c r="K55" s="792">
        <v>10</v>
      </c>
      <c r="L55" s="1484">
        <f t="shared" si="6"/>
        <v>50</v>
      </c>
      <c r="M55" s="2260">
        <f t="shared" si="24"/>
        <v>48</v>
      </c>
      <c r="N55" s="2261">
        <f t="shared" si="25"/>
        <v>10</v>
      </c>
      <c r="O55" s="2262">
        <f t="shared" si="26"/>
        <v>10</v>
      </c>
      <c r="P55" s="2263">
        <f t="shared" si="27"/>
        <v>10</v>
      </c>
      <c r="Q55" s="2263">
        <f t="shared" si="28"/>
        <v>10</v>
      </c>
      <c r="R55" s="2263">
        <f t="shared" si="29"/>
        <v>10</v>
      </c>
      <c r="S55" s="2264">
        <f t="shared" si="30"/>
        <v>10</v>
      </c>
      <c r="T55" s="2287">
        <v>0</v>
      </c>
      <c r="U55" s="2287">
        <v>0</v>
      </c>
      <c r="V55" s="2287">
        <v>0</v>
      </c>
      <c r="W55" s="2287">
        <v>0</v>
      </c>
      <c r="X55" s="2287">
        <v>0</v>
      </c>
      <c r="Y55" s="2287">
        <v>0</v>
      </c>
      <c r="Z55" s="792">
        <v>0</v>
      </c>
      <c r="AA55" s="2265">
        <f t="shared" si="4"/>
        <v>0</v>
      </c>
      <c r="AB55" s="2331"/>
      <c r="AC55" s="2332"/>
      <c r="AD55" s="2333" t="s">
        <v>908</v>
      </c>
      <c r="AE55" s="1907"/>
      <c r="AF55" s="1906"/>
      <c r="AG55" s="1907"/>
      <c r="AH55" s="792"/>
      <c r="AI55" s="792"/>
      <c r="AJ55" s="792"/>
      <c r="AK55" s="1906"/>
      <c r="AL55" s="2334" t="s">
        <v>541</v>
      </c>
    </row>
    <row r="56" spans="1:38" ht="23.25" customHeight="1" thickBot="1">
      <c r="A56" s="2301">
        <v>1.4</v>
      </c>
      <c r="B56" s="2301"/>
      <c r="C56" s="2302"/>
      <c r="D56" s="2303" t="s">
        <v>558</v>
      </c>
      <c r="E56" s="2304">
        <f t="shared" ref="E56:Z56" si="31">SUM(E57:E58)</f>
        <v>0</v>
      </c>
      <c r="F56" s="2305">
        <f t="shared" si="31"/>
        <v>0</v>
      </c>
      <c r="G56" s="2306">
        <f t="shared" si="31"/>
        <v>0</v>
      </c>
      <c r="H56" s="2307">
        <f t="shared" si="31"/>
        <v>0</v>
      </c>
      <c r="I56" s="2307">
        <f t="shared" si="31"/>
        <v>0</v>
      </c>
      <c r="J56" s="2307">
        <f t="shared" si="31"/>
        <v>0</v>
      </c>
      <c r="K56" s="2308">
        <f t="shared" si="31"/>
        <v>0</v>
      </c>
      <c r="L56" s="2309">
        <f t="shared" si="31"/>
        <v>0</v>
      </c>
      <c r="M56" s="2304">
        <f t="shared" si="31"/>
        <v>0</v>
      </c>
      <c r="N56" s="2305">
        <f t="shared" si="31"/>
        <v>0</v>
      </c>
      <c r="O56" s="2306">
        <f t="shared" si="31"/>
        <v>0</v>
      </c>
      <c r="P56" s="2307">
        <f t="shared" si="31"/>
        <v>0</v>
      </c>
      <c r="Q56" s="2307">
        <f t="shared" si="31"/>
        <v>0</v>
      </c>
      <c r="R56" s="2307">
        <f t="shared" si="31"/>
        <v>0</v>
      </c>
      <c r="S56" s="2310">
        <f t="shared" si="31"/>
        <v>0</v>
      </c>
      <c r="T56" s="2304">
        <f t="shared" si="31"/>
        <v>0</v>
      </c>
      <c r="U56" s="2305">
        <f t="shared" si="31"/>
        <v>0</v>
      </c>
      <c r="V56" s="2306">
        <f t="shared" si="31"/>
        <v>0</v>
      </c>
      <c r="W56" s="2307">
        <f t="shared" si="31"/>
        <v>0</v>
      </c>
      <c r="X56" s="2307">
        <f t="shared" si="31"/>
        <v>0</v>
      </c>
      <c r="Y56" s="2307">
        <f t="shared" si="31"/>
        <v>0</v>
      </c>
      <c r="Z56" s="2308">
        <f t="shared" si="31"/>
        <v>0</v>
      </c>
      <c r="AA56" s="2341">
        <f t="shared" si="4"/>
        <v>0</v>
      </c>
      <c r="AB56" s="2342"/>
      <c r="AC56" s="2343"/>
      <c r="AD56" s="2344"/>
      <c r="AE56" s="2345"/>
      <c r="AF56" s="2345"/>
      <c r="AG56" s="2346"/>
      <c r="AH56" s="2346"/>
      <c r="AI56" s="2346"/>
      <c r="AJ56" s="2346"/>
      <c r="AK56" s="2347"/>
      <c r="AL56" s="2348"/>
    </row>
    <row r="57" spans="1:38" ht="25.5" customHeight="1">
      <c r="A57" s="2335"/>
      <c r="B57" s="2336">
        <v>2030501</v>
      </c>
      <c r="C57" s="2351">
        <v>0.1</v>
      </c>
      <c r="D57" s="2350" t="s">
        <v>559</v>
      </c>
      <c r="E57" s="2287">
        <v>0</v>
      </c>
      <c r="F57" s="2287">
        <v>0</v>
      </c>
      <c r="G57" s="2287">
        <v>0</v>
      </c>
      <c r="H57" s="2287">
        <v>0</v>
      </c>
      <c r="I57" s="2287">
        <v>0</v>
      </c>
      <c r="J57" s="2287">
        <v>0</v>
      </c>
      <c r="K57" s="2287">
        <v>0</v>
      </c>
      <c r="L57" s="2338">
        <f t="shared" si="6"/>
        <v>0</v>
      </c>
      <c r="M57" s="2292">
        <f t="shared" ref="M57:M58" si="32">E57-T57</f>
        <v>0</v>
      </c>
      <c r="N57" s="2293">
        <f t="shared" ref="N57:N58" si="33">F57-U57</f>
        <v>0</v>
      </c>
      <c r="O57" s="2294">
        <f t="shared" ref="O57:O58" si="34">G57-V57</f>
        <v>0</v>
      </c>
      <c r="P57" s="2295">
        <f t="shared" ref="P57:P58" si="35">H57-W57</f>
        <v>0</v>
      </c>
      <c r="Q57" s="2295">
        <f t="shared" ref="Q57:Q58" si="36">I57-X57</f>
        <v>0</v>
      </c>
      <c r="R57" s="2295">
        <f t="shared" ref="R57:R58" si="37">J57-Y57</f>
        <v>0</v>
      </c>
      <c r="S57" s="2296">
        <f t="shared" ref="S57:S58" si="38">K57-Z57</f>
        <v>0</v>
      </c>
      <c r="T57" s="2287">
        <v>0</v>
      </c>
      <c r="U57" s="2287">
        <v>0</v>
      </c>
      <c r="V57" s="2287">
        <v>0</v>
      </c>
      <c r="W57" s="2287">
        <v>0</v>
      </c>
      <c r="X57" s="2287">
        <v>0</v>
      </c>
      <c r="Y57" s="2287">
        <v>0</v>
      </c>
      <c r="Z57" s="2290">
        <v>0</v>
      </c>
      <c r="AA57" s="2339">
        <f t="shared" si="4"/>
        <v>0</v>
      </c>
      <c r="AB57" s="2298"/>
      <c r="AC57" s="2299"/>
      <c r="AD57" s="2319" t="s">
        <v>908</v>
      </c>
      <c r="AE57" s="2289"/>
      <c r="AF57" s="2352"/>
      <c r="AG57" s="2289"/>
      <c r="AH57" s="2290"/>
      <c r="AI57" s="2290"/>
      <c r="AJ57" s="2290"/>
      <c r="AK57" s="2288"/>
      <c r="AL57" s="2353" t="s">
        <v>889</v>
      </c>
    </row>
    <row r="58" spans="1:38" ht="24.75" thickBot="1">
      <c r="A58" s="2257"/>
      <c r="B58" s="2349">
        <v>2030501</v>
      </c>
      <c r="C58" s="2354">
        <v>0.1</v>
      </c>
      <c r="D58" s="2355" t="s">
        <v>560</v>
      </c>
      <c r="E58" s="2287">
        <v>0</v>
      </c>
      <c r="F58" s="2287">
        <v>0</v>
      </c>
      <c r="G58" s="2287">
        <v>0</v>
      </c>
      <c r="H58" s="2287">
        <v>0</v>
      </c>
      <c r="I58" s="2287">
        <v>0</v>
      </c>
      <c r="J58" s="2287">
        <v>0</v>
      </c>
      <c r="K58" s="2287">
        <v>0</v>
      </c>
      <c r="L58" s="1484">
        <f t="shared" si="6"/>
        <v>0</v>
      </c>
      <c r="M58" s="2260">
        <f t="shared" si="32"/>
        <v>0</v>
      </c>
      <c r="N58" s="2261">
        <f t="shared" si="33"/>
        <v>0</v>
      </c>
      <c r="O58" s="2262">
        <f t="shared" si="34"/>
        <v>0</v>
      </c>
      <c r="P58" s="2263">
        <f t="shared" si="35"/>
        <v>0</v>
      </c>
      <c r="Q58" s="2263">
        <f t="shared" si="36"/>
        <v>0</v>
      </c>
      <c r="R58" s="2263">
        <f t="shared" si="37"/>
        <v>0</v>
      </c>
      <c r="S58" s="2264">
        <f t="shared" si="38"/>
        <v>0</v>
      </c>
      <c r="T58" s="2287">
        <v>0</v>
      </c>
      <c r="U58" s="2287">
        <v>0</v>
      </c>
      <c r="V58" s="2287">
        <v>0</v>
      </c>
      <c r="W58" s="2287">
        <v>0</v>
      </c>
      <c r="X58" s="2287">
        <v>0</v>
      </c>
      <c r="Y58" s="2287">
        <v>0</v>
      </c>
      <c r="Z58" s="792">
        <v>0</v>
      </c>
      <c r="AA58" s="2265">
        <f t="shared" si="4"/>
        <v>0</v>
      </c>
      <c r="AB58" s="2331"/>
      <c r="AC58" s="2332"/>
      <c r="AD58" s="2333" t="s">
        <v>908</v>
      </c>
      <c r="AE58" s="1907"/>
      <c r="AF58" s="2356"/>
      <c r="AG58" s="1907"/>
      <c r="AH58" s="792"/>
      <c r="AI58" s="792"/>
      <c r="AJ58" s="792"/>
      <c r="AK58" s="1906"/>
      <c r="AL58" s="2334" t="s">
        <v>890</v>
      </c>
    </row>
    <row r="59" spans="1:38" ht="16.5" customHeight="1" thickBot="1">
      <c r="A59" s="2301">
        <v>1.5</v>
      </c>
      <c r="B59" s="2301"/>
      <c r="C59" s="2302"/>
      <c r="D59" s="2303" t="s">
        <v>561</v>
      </c>
      <c r="E59" s="2304">
        <f>SUM(E60:E67)</f>
        <v>392</v>
      </c>
      <c r="F59" s="2305">
        <f t="shared" ref="F59:Z59" si="39">SUM(F60:F67)</f>
        <v>427</v>
      </c>
      <c r="G59" s="2306">
        <f t="shared" si="39"/>
        <v>240</v>
      </c>
      <c r="H59" s="2307">
        <f t="shared" si="39"/>
        <v>235</v>
      </c>
      <c r="I59" s="2307">
        <f t="shared" si="39"/>
        <v>230</v>
      </c>
      <c r="J59" s="2307">
        <f t="shared" si="39"/>
        <v>240</v>
      </c>
      <c r="K59" s="2308">
        <f t="shared" si="39"/>
        <v>250</v>
      </c>
      <c r="L59" s="2309">
        <f t="shared" si="39"/>
        <v>1195</v>
      </c>
      <c r="M59" s="2304">
        <f t="shared" si="39"/>
        <v>392</v>
      </c>
      <c r="N59" s="2305">
        <f t="shared" si="39"/>
        <v>427</v>
      </c>
      <c r="O59" s="2306">
        <f t="shared" si="39"/>
        <v>240</v>
      </c>
      <c r="P59" s="2307">
        <f t="shared" si="39"/>
        <v>235</v>
      </c>
      <c r="Q59" s="2307">
        <f t="shared" si="39"/>
        <v>230</v>
      </c>
      <c r="R59" s="2307">
        <f t="shared" si="39"/>
        <v>240</v>
      </c>
      <c r="S59" s="2310">
        <f t="shared" si="39"/>
        <v>250</v>
      </c>
      <c r="T59" s="2304">
        <f t="shared" si="39"/>
        <v>0</v>
      </c>
      <c r="U59" s="2305">
        <f t="shared" si="39"/>
        <v>0</v>
      </c>
      <c r="V59" s="2306">
        <f t="shared" si="39"/>
        <v>0</v>
      </c>
      <c r="W59" s="2307">
        <f t="shared" si="39"/>
        <v>0</v>
      </c>
      <c r="X59" s="2307">
        <f t="shared" si="39"/>
        <v>0</v>
      </c>
      <c r="Y59" s="2307">
        <f t="shared" si="39"/>
        <v>0</v>
      </c>
      <c r="Z59" s="2308">
        <f t="shared" si="39"/>
        <v>0</v>
      </c>
      <c r="AA59" s="2341">
        <f t="shared" si="4"/>
        <v>0</v>
      </c>
      <c r="AB59" s="2342"/>
      <c r="AC59" s="2343"/>
      <c r="AD59" s="2344"/>
      <c r="AE59" s="2345"/>
      <c r="AF59" s="2345"/>
      <c r="AG59" s="2346"/>
      <c r="AH59" s="2346"/>
      <c r="AI59" s="2346"/>
      <c r="AJ59" s="2346"/>
      <c r="AK59" s="2347"/>
      <c r="AL59" s="2348"/>
    </row>
    <row r="60" spans="1:38" ht="24">
      <c r="A60" s="2357"/>
      <c r="B60" s="2335">
        <v>20201</v>
      </c>
      <c r="C60" s="2358">
        <v>0.03</v>
      </c>
      <c r="D60" s="2337" t="s">
        <v>562</v>
      </c>
      <c r="E60" s="2287">
        <v>339</v>
      </c>
      <c r="F60" s="2288">
        <v>335</v>
      </c>
      <c r="G60" s="2289">
        <v>150</v>
      </c>
      <c r="H60" s="2290">
        <v>150</v>
      </c>
      <c r="I60" s="2290">
        <v>150</v>
      </c>
      <c r="J60" s="2290">
        <v>150</v>
      </c>
      <c r="K60" s="2290">
        <v>150</v>
      </c>
      <c r="L60" s="2338">
        <f t="shared" si="6"/>
        <v>750</v>
      </c>
      <c r="M60" s="2292">
        <f t="shared" ref="M60:M67" si="40">E60-T60</f>
        <v>339</v>
      </c>
      <c r="N60" s="2293">
        <f t="shared" ref="N60:N67" si="41">F60-U60</f>
        <v>335</v>
      </c>
      <c r="O60" s="2294">
        <f t="shared" ref="O60:O67" si="42">G60-V60</f>
        <v>150</v>
      </c>
      <c r="P60" s="2295">
        <f t="shared" ref="P60:P67" si="43">H60-W60</f>
        <v>150</v>
      </c>
      <c r="Q60" s="2295">
        <f t="shared" ref="Q60:Q67" si="44">I60-X60</f>
        <v>150</v>
      </c>
      <c r="R60" s="2295">
        <f t="shared" ref="R60:R67" si="45">J60-Y60</f>
        <v>150</v>
      </c>
      <c r="S60" s="2296">
        <f t="shared" ref="S60:S67" si="46">K60-Z60</f>
        <v>150</v>
      </c>
      <c r="T60" s="2287">
        <v>0</v>
      </c>
      <c r="U60" s="2287">
        <v>0</v>
      </c>
      <c r="V60" s="2287">
        <v>0</v>
      </c>
      <c r="W60" s="2287">
        <v>0</v>
      </c>
      <c r="X60" s="2287">
        <v>0</v>
      </c>
      <c r="Y60" s="2287">
        <v>0</v>
      </c>
      <c r="Z60" s="2290">
        <v>0</v>
      </c>
      <c r="AA60" s="2339">
        <f t="shared" si="4"/>
        <v>0</v>
      </c>
      <c r="AB60" s="2298"/>
      <c r="AC60" s="2299"/>
      <c r="AD60" s="2319" t="s">
        <v>908</v>
      </c>
      <c r="AE60" s="2289"/>
      <c r="AF60" s="2288"/>
      <c r="AG60" s="2289"/>
      <c r="AH60" s="2290"/>
      <c r="AI60" s="2290"/>
      <c r="AJ60" s="2290"/>
      <c r="AK60" s="2288"/>
      <c r="AL60" s="2300" t="s">
        <v>563</v>
      </c>
    </row>
    <row r="61" spans="1:38" ht="24">
      <c r="A61" s="1755"/>
      <c r="B61" s="808">
        <v>20601</v>
      </c>
      <c r="C61" s="1769">
        <v>0.1</v>
      </c>
      <c r="D61" s="806" t="s">
        <v>564</v>
      </c>
      <c r="E61" s="781">
        <v>53</v>
      </c>
      <c r="F61" s="791">
        <v>88</v>
      </c>
      <c r="G61" s="795">
        <v>80</v>
      </c>
      <c r="H61" s="782">
        <v>75</v>
      </c>
      <c r="I61" s="782">
        <v>70</v>
      </c>
      <c r="J61" s="782">
        <v>80</v>
      </c>
      <c r="K61" s="782">
        <v>90</v>
      </c>
      <c r="L61" s="804">
        <f t="shared" si="6"/>
        <v>395</v>
      </c>
      <c r="M61" s="1431">
        <f t="shared" si="40"/>
        <v>53</v>
      </c>
      <c r="N61" s="1432">
        <f t="shared" si="41"/>
        <v>88</v>
      </c>
      <c r="O61" s="1433">
        <f t="shared" si="42"/>
        <v>80</v>
      </c>
      <c r="P61" s="1434">
        <f t="shared" si="43"/>
        <v>75</v>
      </c>
      <c r="Q61" s="1434">
        <f t="shared" si="44"/>
        <v>70</v>
      </c>
      <c r="R61" s="1434">
        <f t="shared" si="45"/>
        <v>80</v>
      </c>
      <c r="S61" s="1435">
        <f t="shared" si="46"/>
        <v>90</v>
      </c>
      <c r="T61" s="2287">
        <v>0</v>
      </c>
      <c r="U61" s="2287">
        <v>0</v>
      </c>
      <c r="V61" s="2287">
        <v>0</v>
      </c>
      <c r="W61" s="2287">
        <v>0</v>
      </c>
      <c r="X61" s="2287">
        <v>0</v>
      </c>
      <c r="Y61" s="2287">
        <v>0</v>
      </c>
      <c r="Z61" s="2290">
        <v>0</v>
      </c>
      <c r="AA61" s="836">
        <f t="shared" si="4"/>
        <v>0</v>
      </c>
      <c r="AB61" s="2243"/>
      <c r="AC61" s="2246"/>
      <c r="AD61" s="2320" t="s">
        <v>908</v>
      </c>
      <c r="AE61" s="795"/>
      <c r="AF61" s="791"/>
      <c r="AG61" s="795"/>
      <c r="AH61" s="782"/>
      <c r="AI61" s="782"/>
      <c r="AJ61" s="782"/>
      <c r="AK61" s="791"/>
      <c r="AL61" s="1488" t="s">
        <v>565</v>
      </c>
    </row>
    <row r="62" spans="1:38" ht="24">
      <c r="A62" s="1755"/>
      <c r="B62" s="807">
        <v>20502</v>
      </c>
      <c r="C62" s="1769">
        <v>0.1</v>
      </c>
      <c r="D62" s="1758" t="s">
        <v>901</v>
      </c>
      <c r="E62" s="781">
        <v>0</v>
      </c>
      <c r="F62" s="781">
        <v>0</v>
      </c>
      <c r="G62" s="781">
        <v>0</v>
      </c>
      <c r="H62" s="781">
        <v>0</v>
      </c>
      <c r="I62" s="781">
        <v>0</v>
      </c>
      <c r="J62" s="781">
        <v>0</v>
      </c>
      <c r="K62" s="781">
        <v>0</v>
      </c>
      <c r="L62" s="804">
        <f t="shared" si="6"/>
        <v>0</v>
      </c>
      <c r="M62" s="1431">
        <f t="shared" si="40"/>
        <v>0</v>
      </c>
      <c r="N62" s="1432">
        <f t="shared" si="41"/>
        <v>0</v>
      </c>
      <c r="O62" s="1433">
        <f t="shared" si="42"/>
        <v>0</v>
      </c>
      <c r="P62" s="1434">
        <f t="shared" si="43"/>
        <v>0</v>
      </c>
      <c r="Q62" s="1434">
        <f t="shared" si="44"/>
        <v>0</v>
      </c>
      <c r="R62" s="1434">
        <f t="shared" si="45"/>
        <v>0</v>
      </c>
      <c r="S62" s="1435">
        <f t="shared" si="46"/>
        <v>0</v>
      </c>
      <c r="T62" s="2287">
        <v>0</v>
      </c>
      <c r="U62" s="2287">
        <v>0</v>
      </c>
      <c r="V62" s="2287">
        <v>0</v>
      </c>
      <c r="W62" s="2287">
        <v>0</v>
      </c>
      <c r="X62" s="2287">
        <v>0</v>
      </c>
      <c r="Y62" s="2287">
        <v>0</v>
      </c>
      <c r="Z62" s="2290">
        <v>0</v>
      </c>
      <c r="AA62" s="836">
        <f t="shared" si="4"/>
        <v>0</v>
      </c>
      <c r="AB62" s="2243"/>
      <c r="AC62" s="2246"/>
      <c r="AD62" s="2320" t="s">
        <v>908</v>
      </c>
      <c r="AE62" s="795"/>
      <c r="AF62" s="791"/>
      <c r="AG62" s="795"/>
      <c r="AH62" s="782"/>
      <c r="AI62" s="782"/>
      <c r="AJ62" s="782"/>
      <c r="AK62" s="791"/>
      <c r="AL62" s="1488" t="s">
        <v>541</v>
      </c>
    </row>
    <row r="63" spans="1:38" ht="24">
      <c r="A63" s="1755"/>
      <c r="B63" s="807">
        <v>20503</v>
      </c>
      <c r="C63" s="1769">
        <v>0.1</v>
      </c>
      <c r="D63" s="1758" t="s">
        <v>900</v>
      </c>
      <c r="E63" s="781">
        <v>0</v>
      </c>
      <c r="F63" s="781">
        <v>0</v>
      </c>
      <c r="G63" s="781">
        <v>0</v>
      </c>
      <c r="H63" s="781">
        <v>0</v>
      </c>
      <c r="I63" s="781">
        <v>0</v>
      </c>
      <c r="J63" s="781">
        <v>0</v>
      </c>
      <c r="K63" s="781">
        <v>0</v>
      </c>
      <c r="L63" s="804">
        <f t="shared" si="6"/>
        <v>0</v>
      </c>
      <c r="M63" s="1431">
        <f t="shared" si="40"/>
        <v>0</v>
      </c>
      <c r="N63" s="1432">
        <f t="shared" si="41"/>
        <v>0</v>
      </c>
      <c r="O63" s="1433">
        <f t="shared" si="42"/>
        <v>0</v>
      </c>
      <c r="P63" s="1434">
        <f t="shared" si="43"/>
        <v>0</v>
      </c>
      <c r="Q63" s="1434">
        <f t="shared" si="44"/>
        <v>0</v>
      </c>
      <c r="R63" s="1434">
        <f t="shared" si="45"/>
        <v>0</v>
      </c>
      <c r="S63" s="1435">
        <f t="shared" si="46"/>
        <v>0</v>
      </c>
      <c r="T63" s="2287">
        <v>0</v>
      </c>
      <c r="U63" s="2287">
        <v>0</v>
      </c>
      <c r="V63" s="2287">
        <v>0</v>
      </c>
      <c r="W63" s="2287">
        <v>0</v>
      </c>
      <c r="X63" s="2287">
        <v>0</v>
      </c>
      <c r="Y63" s="2287">
        <v>0</v>
      </c>
      <c r="Z63" s="2290">
        <v>0</v>
      </c>
      <c r="AA63" s="836">
        <f t="shared" si="4"/>
        <v>0</v>
      </c>
      <c r="AB63" s="2243"/>
      <c r="AC63" s="2246"/>
      <c r="AD63" s="2320" t="s">
        <v>908</v>
      </c>
      <c r="AE63" s="795"/>
      <c r="AF63" s="791"/>
      <c r="AG63" s="795"/>
      <c r="AH63" s="782"/>
      <c r="AI63" s="782"/>
      <c r="AJ63" s="782"/>
      <c r="AK63" s="791"/>
      <c r="AL63" s="1489" t="s">
        <v>541</v>
      </c>
    </row>
    <row r="64" spans="1:38" ht="24">
      <c r="A64" s="1755"/>
      <c r="B64" s="807">
        <v>212</v>
      </c>
      <c r="C64" s="1769">
        <v>0.2</v>
      </c>
      <c r="D64" s="1758" t="s">
        <v>1317</v>
      </c>
      <c r="E64" s="781">
        <v>0</v>
      </c>
      <c r="F64" s="791">
        <v>4</v>
      </c>
      <c r="G64" s="795">
        <v>10</v>
      </c>
      <c r="H64" s="782">
        <v>10</v>
      </c>
      <c r="I64" s="782">
        <v>10</v>
      </c>
      <c r="J64" s="782">
        <v>10</v>
      </c>
      <c r="K64" s="782">
        <v>10</v>
      </c>
      <c r="L64" s="804">
        <f t="shared" si="6"/>
        <v>50</v>
      </c>
      <c r="M64" s="1431">
        <f t="shared" si="40"/>
        <v>0</v>
      </c>
      <c r="N64" s="1432">
        <f t="shared" si="41"/>
        <v>4</v>
      </c>
      <c r="O64" s="1433">
        <f t="shared" si="42"/>
        <v>10</v>
      </c>
      <c r="P64" s="1434">
        <f t="shared" si="43"/>
        <v>10</v>
      </c>
      <c r="Q64" s="1434">
        <f t="shared" si="44"/>
        <v>10</v>
      </c>
      <c r="R64" s="1434">
        <f t="shared" si="45"/>
        <v>10</v>
      </c>
      <c r="S64" s="1435">
        <f t="shared" si="46"/>
        <v>10</v>
      </c>
      <c r="T64" s="2287">
        <v>0</v>
      </c>
      <c r="U64" s="2287">
        <v>0</v>
      </c>
      <c r="V64" s="2287">
        <v>0</v>
      </c>
      <c r="W64" s="2287">
        <v>0</v>
      </c>
      <c r="X64" s="2287">
        <v>0</v>
      </c>
      <c r="Y64" s="2287">
        <v>0</v>
      </c>
      <c r="Z64" s="2290">
        <v>0</v>
      </c>
      <c r="AA64" s="836">
        <f t="shared" si="4"/>
        <v>0</v>
      </c>
      <c r="AB64" s="2243"/>
      <c r="AC64" s="2246"/>
      <c r="AD64" s="2320" t="s">
        <v>908</v>
      </c>
      <c r="AE64" s="795"/>
      <c r="AF64" s="791"/>
      <c r="AG64" s="795"/>
      <c r="AH64" s="782"/>
      <c r="AI64" s="782"/>
      <c r="AJ64" s="782"/>
      <c r="AK64" s="791"/>
      <c r="AL64" s="1489" t="s">
        <v>566</v>
      </c>
    </row>
    <row r="65" spans="1:38" ht="29.25" customHeight="1" thickBot="1">
      <c r="A65" s="808"/>
      <c r="B65" s="807">
        <v>215</v>
      </c>
      <c r="C65" s="1769">
        <v>0.2</v>
      </c>
      <c r="D65" s="1758" t="s">
        <v>1318</v>
      </c>
      <c r="E65" s="781">
        <v>0</v>
      </c>
      <c r="F65" s="781">
        <v>0</v>
      </c>
      <c r="G65" s="781">
        <v>0</v>
      </c>
      <c r="H65" s="781">
        <v>0</v>
      </c>
      <c r="I65" s="781">
        <v>0</v>
      </c>
      <c r="J65" s="781">
        <v>0</v>
      </c>
      <c r="K65" s="781">
        <v>0</v>
      </c>
      <c r="L65" s="804">
        <f t="shared" si="6"/>
        <v>0</v>
      </c>
      <c r="M65" s="1431">
        <f t="shared" si="40"/>
        <v>0</v>
      </c>
      <c r="N65" s="1432">
        <f t="shared" si="41"/>
        <v>0</v>
      </c>
      <c r="O65" s="1433">
        <f t="shared" si="42"/>
        <v>0</v>
      </c>
      <c r="P65" s="1434">
        <f t="shared" si="43"/>
        <v>0</v>
      </c>
      <c r="Q65" s="1434">
        <f t="shared" si="44"/>
        <v>0</v>
      </c>
      <c r="R65" s="1434">
        <f t="shared" si="45"/>
        <v>0</v>
      </c>
      <c r="S65" s="1435">
        <f t="shared" si="46"/>
        <v>0</v>
      </c>
      <c r="T65" s="2287">
        <v>0</v>
      </c>
      <c r="U65" s="2287">
        <v>0</v>
      </c>
      <c r="V65" s="2287">
        <v>0</v>
      </c>
      <c r="W65" s="2287">
        <v>0</v>
      </c>
      <c r="X65" s="2287">
        <v>0</v>
      </c>
      <c r="Y65" s="2287">
        <v>0</v>
      </c>
      <c r="Z65" s="2290">
        <v>0</v>
      </c>
      <c r="AA65" s="836">
        <f t="shared" si="4"/>
        <v>0</v>
      </c>
      <c r="AB65" s="2243"/>
      <c r="AC65" s="2246"/>
      <c r="AD65" s="809" t="s">
        <v>908</v>
      </c>
      <c r="AE65" s="795"/>
      <c r="AF65" s="791"/>
      <c r="AG65" s="795"/>
      <c r="AH65" s="782"/>
      <c r="AI65" s="782"/>
      <c r="AJ65" s="782"/>
      <c r="AK65" s="791"/>
      <c r="AL65" s="1489" t="s">
        <v>902</v>
      </c>
    </row>
    <row r="66" spans="1:38" ht="39" customHeight="1">
      <c r="A66" s="808"/>
      <c r="B66" s="807">
        <v>215</v>
      </c>
      <c r="C66" s="1769">
        <v>0.2</v>
      </c>
      <c r="D66" s="1758" t="s">
        <v>891</v>
      </c>
      <c r="E66" s="781">
        <v>0</v>
      </c>
      <c r="F66" s="791">
        <v>0</v>
      </c>
      <c r="G66" s="795">
        <v>0</v>
      </c>
      <c r="H66" s="782">
        <v>0</v>
      </c>
      <c r="I66" s="782">
        <v>0</v>
      </c>
      <c r="J66" s="782">
        <v>0</v>
      </c>
      <c r="K66" s="782">
        <v>0</v>
      </c>
      <c r="L66" s="804">
        <f t="shared" si="6"/>
        <v>0</v>
      </c>
      <c r="M66" s="1431">
        <f t="shared" si="40"/>
        <v>0</v>
      </c>
      <c r="N66" s="1432">
        <f t="shared" si="41"/>
        <v>0</v>
      </c>
      <c r="O66" s="1433">
        <f t="shared" si="42"/>
        <v>0</v>
      </c>
      <c r="P66" s="1434">
        <f t="shared" si="43"/>
        <v>0</v>
      </c>
      <c r="Q66" s="1434">
        <f t="shared" si="44"/>
        <v>0</v>
      </c>
      <c r="R66" s="1434">
        <f t="shared" si="45"/>
        <v>0</v>
      </c>
      <c r="S66" s="1435">
        <f t="shared" si="46"/>
        <v>0</v>
      </c>
      <c r="T66" s="2287">
        <v>0</v>
      </c>
      <c r="U66" s="2287">
        <v>0</v>
      </c>
      <c r="V66" s="2287">
        <v>0</v>
      </c>
      <c r="W66" s="2287">
        <v>0</v>
      </c>
      <c r="X66" s="2287">
        <v>0</v>
      </c>
      <c r="Y66" s="2287">
        <v>0</v>
      </c>
      <c r="Z66" s="2290">
        <v>0</v>
      </c>
      <c r="AA66" s="836">
        <f t="shared" si="4"/>
        <v>0</v>
      </c>
      <c r="AB66" s="2243"/>
      <c r="AC66" s="2246"/>
      <c r="AD66" s="2324" t="s">
        <v>380</v>
      </c>
      <c r="AE66" s="2237"/>
      <c r="AF66" s="2238"/>
      <c r="AG66" s="2237"/>
      <c r="AH66" s="2239"/>
      <c r="AI66" s="2239"/>
      <c r="AJ66" s="2239"/>
      <c r="AK66" s="2240"/>
      <c r="AL66" s="1489" t="s">
        <v>903</v>
      </c>
    </row>
    <row r="67" spans="1:38" ht="30.75" customHeight="1" thickBot="1">
      <c r="A67" s="2256"/>
      <c r="B67" s="2257">
        <v>208</v>
      </c>
      <c r="C67" s="2258">
        <v>0.2</v>
      </c>
      <c r="D67" s="2259" t="s">
        <v>567</v>
      </c>
      <c r="E67" s="785">
        <v>0</v>
      </c>
      <c r="F67" s="1906">
        <v>0</v>
      </c>
      <c r="G67" s="1907">
        <v>0</v>
      </c>
      <c r="H67" s="792">
        <v>0</v>
      </c>
      <c r="I67" s="792">
        <v>0</v>
      </c>
      <c r="J67" s="792">
        <v>0</v>
      </c>
      <c r="K67" s="792">
        <v>0</v>
      </c>
      <c r="L67" s="1484">
        <f t="shared" si="6"/>
        <v>0</v>
      </c>
      <c r="M67" s="2260">
        <f t="shared" si="40"/>
        <v>0</v>
      </c>
      <c r="N67" s="2261">
        <f t="shared" si="41"/>
        <v>0</v>
      </c>
      <c r="O67" s="2262">
        <f t="shared" si="42"/>
        <v>0</v>
      </c>
      <c r="P67" s="2263">
        <f t="shared" si="43"/>
        <v>0</v>
      </c>
      <c r="Q67" s="2263">
        <f t="shared" si="44"/>
        <v>0</v>
      </c>
      <c r="R67" s="2263">
        <f t="shared" si="45"/>
        <v>0</v>
      </c>
      <c r="S67" s="2264">
        <f t="shared" si="46"/>
        <v>0</v>
      </c>
      <c r="T67" s="2287">
        <v>0</v>
      </c>
      <c r="U67" s="2287">
        <v>0</v>
      </c>
      <c r="V67" s="2287">
        <v>0</v>
      </c>
      <c r="W67" s="2287">
        <v>0</v>
      </c>
      <c r="X67" s="2287">
        <v>0</v>
      </c>
      <c r="Y67" s="2287">
        <v>0</v>
      </c>
      <c r="Z67" s="2290">
        <v>0</v>
      </c>
      <c r="AA67" s="2265">
        <f t="shared" si="4"/>
        <v>0</v>
      </c>
      <c r="AB67" s="2244"/>
      <c r="AC67" s="2247"/>
      <c r="AD67" s="809" t="s">
        <v>908</v>
      </c>
      <c r="AE67" s="2241"/>
      <c r="AF67" s="2242"/>
      <c r="AG67" s="2248"/>
      <c r="AH67" s="2249"/>
      <c r="AI67" s="2249"/>
      <c r="AJ67" s="2249"/>
      <c r="AK67" s="2242"/>
      <c r="AL67" s="1490" t="s">
        <v>565</v>
      </c>
    </row>
    <row r="68" spans="1:38" s="185" customFormat="1" ht="18.75" customHeight="1">
      <c r="A68" s="2266">
        <v>1</v>
      </c>
      <c r="B68" s="2266"/>
      <c r="C68" s="2267"/>
      <c r="D68" s="2268" t="s">
        <v>518</v>
      </c>
      <c r="E68" s="1226">
        <f t="shared" ref="E68:L68" si="47">E59+E56+E47+E35+E10</f>
        <v>2157</v>
      </c>
      <c r="F68" s="1470">
        <f t="shared" si="47"/>
        <v>3640</v>
      </c>
      <c r="G68" s="1464">
        <f t="shared" si="47"/>
        <v>2961</v>
      </c>
      <c r="H68" s="905">
        <f t="shared" si="47"/>
        <v>1631</v>
      </c>
      <c r="I68" s="905">
        <f t="shared" si="47"/>
        <v>1207</v>
      </c>
      <c r="J68" s="905">
        <f t="shared" si="47"/>
        <v>1141</v>
      </c>
      <c r="K68" s="1227">
        <f t="shared" si="47"/>
        <v>1098</v>
      </c>
      <c r="L68" s="1224">
        <f t="shared" si="47"/>
        <v>8038</v>
      </c>
      <c r="M68" s="1226">
        <f t="shared" ref="M68:Z68" si="48">M86</f>
        <v>2157</v>
      </c>
      <c r="N68" s="1470">
        <f t="shared" si="48"/>
        <v>3640</v>
      </c>
      <c r="O68" s="1464">
        <f t="shared" si="48"/>
        <v>2961</v>
      </c>
      <c r="P68" s="905">
        <f t="shared" si="48"/>
        <v>1631.0000000000002</v>
      </c>
      <c r="Q68" s="905">
        <f t="shared" si="48"/>
        <v>1207</v>
      </c>
      <c r="R68" s="905">
        <f t="shared" si="48"/>
        <v>1141</v>
      </c>
      <c r="S68" s="910">
        <f t="shared" si="48"/>
        <v>1098</v>
      </c>
      <c r="T68" s="1226">
        <f t="shared" si="48"/>
        <v>0</v>
      </c>
      <c r="U68" s="1470">
        <f t="shared" si="48"/>
        <v>0</v>
      </c>
      <c r="V68" s="1464">
        <f t="shared" si="48"/>
        <v>0</v>
      </c>
      <c r="W68" s="905">
        <f t="shared" si="48"/>
        <v>0</v>
      </c>
      <c r="X68" s="905">
        <f t="shared" si="48"/>
        <v>0</v>
      </c>
      <c r="Y68" s="905">
        <f t="shared" si="48"/>
        <v>0</v>
      </c>
      <c r="Z68" s="1227">
        <f t="shared" si="48"/>
        <v>0</v>
      </c>
      <c r="AA68" s="2269">
        <f>L68-SUM(O68:S68)-SUM(V68:Z68)</f>
        <v>0</v>
      </c>
      <c r="AB68" s="2359"/>
      <c r="AC68" s="2359"/>
      <c r="AD68" s="2202"/>
      <c r="AE68" s="2202"/>
      <c r="AF68" s="2202"/>
      <c r="AG68" s="2202"/>
      <c r="AH68" s="2202"/>
      <c r="AI68" s="2202"/>
      <c r="AJ68" s="2202"/>
      <c r="AK68" s="2359"/>
      <c r="AL68" s="2360"/>
    </row>
    <row r="69" spans="1:38" ht="18.75" customHeight="1">
      <c r="A69" s="903"/>
      <c r="B69" s="903"/>
      <c r="C69" s="902"/>
      <c r="D69" s="1759" t="s">
        <v>841</v>
      </c>
      <c r="E69" s="2250">
        <f>SUM(E29:E34)+SUM(E42:E46)+E49+SUM(E51:E55)+E59-E65-E66</f>
        <v>704</v>
      </c>
      <c r="F69" s="2251">
        <f t="shared" ref="F69:Z69" si="49">SUM(F29:F34)+SUM(F42:F46)+F49+SUM(F51:F55)+F59-F65-F66</f>
        <v>1530</v>
      </c>
      <c r="G69" s="2252">
        <f t="shared" si="49"/>
        <v>2119</v>
      </c>
      <c r="H69" s="2253">
        <f t="shared" si="49"/>
        <v>834</v>
      </c>
      <c r="I69" s="2253">
        <f t="shared" si="49"/>
        <v>429</v>
      </c>
      <c r="J69" s="2253">
        <f t="shared" si="49"/>
        <v>379</v>
      </c>
      <c r="K69" s="2254">
        <f t="shared" si="49"/>
        <v>399</v>
      </c>
      <c r="L69" s="2255">
        <f t="shared" si="49"/>
        <v>4160</v>
      </c>
      <c r="M69" s="2250">
        <f t="shared" si="49"/>
        <v>704</v>
      </c>
      <c r="N69" s="2251">
        <f t="shared" si="49"/>
        <v>1530</v>
      </c>
      <c r="O69" s="2252">
        <f t="shared" si="49"/>
        <v>2119</v>
      </c>
      <c r="P69" s="2253">
        <f t="shared" si="49"/>
        <v>834</v>
      </c>
      <c r="Q69" s="2253">
        <f t="shared" si="49"/>
        <v>429</v>
      </c>
      <c r="R69" s="2253">
        <f t="shared" si="49"/>
        <v>379</v>
      </c>
      <c r="S69" s="2255">
        <f t="shared" si="49"/>
        <v>399</v>
      </c>
      <c r="T69" s="2250">
        <f t="shared" si="49"/>
        <v>0</v>
      </c>
      <c r="U69" s="2251">
        <f t="shared" si="49"/>
        <v>0</v>
      </c>
      <c r="V69" s="2252">
        <f t="shared" si="49"/>
        <v>0</v>
      </c>
      <c r="W69" s="2253">
        <f t="shared" si="49"/>
        <v>0</v>
      </c>
      <c r="X69" s="2253">
        <f t="shared" si="49"/>
        <v>0</v>
      </c>
      <c r="Y69" s="2253">
        <f t="shared" si="49"/>
        <v>0</v>
      </c>
      <c r="Z69" s="2254">
        <f t="shared" si="49"/>
        <v>0</v>
      </c>
      <c r="AA69" s="904">
        <f>L69-SUM(O69:S69)-SUM(V69:Z69)</f>
        <v>0</v>
      </c>
      <c r="AB69" s="739"/>
      <c r="AC69" s="739"/>
      <c r="AD69" s="1785"/>
      <c r="AE69" s="1785"/>
      <c r="AF69" s="1785"/>
      <c r="AG69" s="1785"/>
      <c r="AH69" s="1785"/>
      <c r="AI69" s="1785"/>
      <c r="AJ69" s="1785"/>
      <c r="AK69" s="739"/>
      <c r="AL69" s="1792"/>
    </row>
    <row r="70" spans="1:38" ht="18.75" customHeight="1" thickBot="1">
      <c r="A70" s="2270"/>
      <c r="B70" s="2270"/>
      <c r="C70" s="2271"/>
      <c r="D70" s="2272" t="s">
        <v>842</v>
      </c>
      <c r="E70" s="2273">
        <f>SUM(E11:E28)+SUM(E36:E41)+E48+E50+E56+E65+E66</f>
        <v>1453</v>
      </c>
      <c r="F70" s="2274">
        <f t="shared" ref="F70:Z70" si="50">SUM(F11:F28)+SUM(F36:F41)+F48+F50+F56+F65+F66</f>
        <v>2110</v>
      </c>
      <c r="G70" s="2275">
        <f t="shared" si="50"/>
        <v>842</v>
      </c>
      <c r="H70" s="2276">
        <f t="shared" si="50"/>
        <v>797</v>
      </c>
      <c r="I70" s="2276">
        <f t="shared" si="50"/>
        <v>778</v>
      </c>
      <c r="J70" s="2276">
        <f t="shared" si="50"/>
        <v>762</v>
      </c>
      <c r="K70" s="2277">
        <f t="shared" si="50"/>
        <v>699</v>
      </c>
      <c r="L70" s="2278">
        <f t="shared" si="50"/>
        <v>3878</v>
      </c>
      <c r="M70" s="2279">
        <f t="shared" si="50"/>
        <v>1453</v>
      </c>
      <c r="N70" s="2280">
        <f t="shared" si="50"/>
        <v>2110</v>
      </c>
      <c r="O70" s="2275">
        <f t="shared" si="50"/>
        <v>842</v>
      </c>
      <c r="P70" s="2276">
        <f t="shared" si="50"/>
        <v>797</v>
      </c>
      <c r="Q70" s="2276">
        <f t="shared" si="50"/>
        <v>778</v>
      </c>
      <c r="R70" s="2276">
        <f t="shared" si="50"/>
        <v>762</v>
      </c>
      <c r="S70" s="2278">
        <f t="shared" si="50"/>
        <v>699</v>
      </c>
      <c r="T70" s="2279">
        <f t="shared" si="50"/>
        <v>0</v>
      </c>
      <c r="U70" s="2280">
        <f t="shared" si="50"/>
        <v>0</v>
      </c>
      <c r="V70" s="2275">
        <f t="shared" si="50"/>
        <v>0</v>
      </c>
      <c r="W70" s="2276">
        <f t="shared" si="50"/>
        <v>0</v>
      </c>
      <c r="X70" s="2276">
        <f t="shared" si="50"/>
        <v>0</v>
      </c>
      <c r="Y70" s="2276">
        <f t="shared" si="50"/>
        <v>0</v>
      </c>
      <c r="Z70" s="2277">
        <f t="shared" si="50"/>
        <v>0</v>
      </c>
      <c r="AA70" s="2281">
        <f>L70-SUM(O70:S70)-SUM(V70:Z70)</f>
        <v>0</v>
      </c>
      <c r="AB70" s="741"/>
      <c r="AC70" s="741"/>
      <c r="AD70" s="2361"/>
      <c r="AE70" s="2361"/>
      <c r="AF70" s="2361"/>
      <c r="AG70" s="2361"/>
      <c r="AH70" s="2361"/>
      <c r="AI70" s="2361"/>
      <c r="AJ70" s="2361"/>
      <c r="AK70" s="741"/>
      <c r="AL70" s="2362"/>
    </row>
    <row r="71" spans="1:38" ht="13.5" customHeight="1">
      <c r="A71" s="790"/>
      <c r="B71" s="790"/>
      <c r="C71" s="177"/>
      <c r="D71" s="1760"/>
      <c r="E71" s="838"/>
      <c r="F71" s="838"/>
      <c r="G71" s="811"/>
      <c r="H71" s="811"/>
      <c r="I71" s="811"/>
      <c r="J71" s="811"/>
      <c r="K71" s="811"/>
      <c r="L71" s="812"/>
      <c r="M71" s="848"/>
      <c r="N71" s="848"/>
      <c r="O71" s="812"/>
      <c r="P71" s="812"/>
      <c r="Q71" s="812"/>
      <c r="R71" s="812"/>
      <c r="S71" s="812"/>
      <c r="T71" s="848"/>
      <c r="U71" s="848"/>
      <c r="V71" s="812"/>
      <c r="W71" s="812"/>
      <c r="X71" s="812"/>
      <c r="Y71" s="812"/>
      <c r="Z71" s="812"/>
      <c r="AA71" s="812"/>
      <c r="AB71" s="780"/>
      <c r="AC71" s="780"/>
      <c r="AD71" s="813"/>
      <c r="AE71" s="813"/>
      <c r="AF71" s="480"/>
      <c r="AG71" s="480"/>
      <c r="AH71" s="480"/>
      <c r="AI71" s="480"/>
      <c r="AJ71" s="480"/>
      <c r="AK71" s="814"/>
      <c r="AL71" s="810"/>
    </row>
    <row r="72" spans="1:38" ht="13.5" customHeight="1" thickBot="1">
      <c r="A72" s="790"/>
      <c r="B72" s="790"/>
      <c r="C72" s="177"/>
      <c r="D72" s="1760"/>
      <c r="E72" s="838"/>
      <c r="F72" s="838"/>
      <c r="G72" s="811"/>
      <c r="H72" s="811"/>
      <c r="I72" s="811"/>
      <c r="J72" s="811"/>
      <c r="K72" s="811"/>
      <c r="L72" s="812"/>
      <c r="M72" s="848"/>
      <c r="N72" s="848"/>
      <c r="O72" s="812"/>
      <c r="P72" s="812"/>
      <c r="Q72" s="812"/>
      <c r="R72" s="812"/>
      <c r="S72" s="812"/>
      <c r="T72" s="848"/>
      <c r="U72" s="848"/>
      <c r="V72" s="812"/>
      <c r="W72" s="812"/>
      <c r="X72" s="812"/>
      <c r="Y72" s="812"/>
      <c r="Z72" s="812"/>
      <c r="AA72" s="812"/>
      <c r="AB72" s="780"/>
      <c r="AC72" s="780"/>
      <c r="AD72" s="813"/>
      <c r="AE72" s="813"/>
      <c r="AF72" s="480"/>
      <c r="AG72" s="480"/>
      <c r="AH72" s="480"/>
      <c r="AI72" s="480"/>
      <c r="AJ72" s="480"/>
      <c r="AK72" s="814"/>
      <c r="AL72" s="1791"/>
    </row>
    <row r="73" spans="1:38" s="508" customFormat="1" ht="13.5" customHeight="1">
      <c r="A73" s="483"/>
      <c r="B73" s="159"/>
      <c r="C73" s="159"/>
      <c r="D73" s="1761" t="s">
        <v>870</v>
      </c>
      <c r="E73" s="1226">
        <f>SUM(E74:E76)</f>
        <v>1765</v>
      </c>
      <c r="F73" s="1470">
        <f>SUM(F74:F76)</f>
        <v>3213</v>
      </c>
      <c r="G73" s="1464">
        <f t="shared" ref="G73:K73" si="51">SUM(G74:G76)</f>
        <v>2721</v>
      </c>
      <c r="H73" s="905">
        <f t="shared" si="51"/>
        <v>1396</v>
      </c>
      <c r="I73" s="905">
        <f t="shared" si="51"/>
        <v>977</v>
      </c>
      <c r="J73" s="905">
        <f t="shared" si="51"/>
        <v>901</v>
      </c>
      <c r="K73" s="910">
        <f t="shared" si="51"/>
        <v>848</v>
      </c>
      <c r="L73" s="1485">
        <f t="shared" ref="L73:L98" si="52">SUM(G73:K73)</f>
        <v>6843</v>
      </c>
      <c r="M73" s="1226">
        <f>SUM(M74:M76)</f>
        <v>1765</v>
      </c>
      <c r="N73" s="1470">
        <f>SUM(N74:N76)</f>
        <v>3213</v>
      </c>
      <c r="O73" s="1464">
        <f t="shared" ref="O73" si="53">SUM(O74:O76)</f>
        <v>2721</v>
      </c>
      <c r="P73" s="905">
        <f t="shared" ref="P73" si="54">SUM(P74:P76)</f>
        <v>1396</v>
      </c>
      <c r="Q73" s="905">
        <f t="shared" ref="Q73" si="55">SUM(Q74:Q76)</f>
        <v>977</v>
      </c>
      <c r="R73" s="905">
        <f t="shared" ref="R73" si="56">SUM(R74:R76)</f>
        <v>901</v>
      </c>
      <c r="S73" s="1227">
        <f t="shared" ref="S73" si="57">SUM(S74:S76)</f>
        <v>848</v>
      </c>
      <c r="T73" s="1226">
        <f t="shared" ref="T73" si="58">SUM(T74:T76)</f>
        <v>0</v>
      </c>
      <c r="U73" s="1470">
        <f t="shared" ref="U73" si="59">SUM(U74:U76)</f>
        <v>0</v>
      </c>
      <c r="V73" s="1464">
        <f t="shared" ref="V73" si="60">SUM(V74:V76)</f>
        <v>0</v>
      </c>
      <c r="W73" s="905">
        <f t="shared" ref="W73" si="61">SUM(W74:W76)</f>
        <v>0</v>
      </c>
      <c r="X73" s="905">
        <f t="shared" ref="X73" si="62">SUM(X74:X76)</f>
        <v>0</v>
      </c>
      <c r="Y73" s="905">
        <f t="shared" ref="Y73" si="63">SUM(Y74:Y76)</f>
        <v>0</v>
      </c>
      <c r="Z73" s="910">
        <f t="shared" ref="Z73" si="64">SUM(Z74:Z76)</f>
        <v>0</v>
      </c>
      <c r="AA73" s="911">
        <f t="shared" ref="AA73:AA76" si="65">L73-SUM(O73:S73)-SUM(V73:Z73)</f>
        <v>0</v>
      </c>
      <c r="AB73" s="815"/>
      <c r="AC73" s="815"/>
      <c r="AD73" s="816"/>
      <c r="AE73" s="816"/>
      <c r="AF73" s="1786"/>
      <c r="AG73" s="1786"/>
      <c r="AH73" s="1786"/>
      <c r="AI73" s="1786"/>
      <c r="AJ73" s="1786"/>
      <c r="AK73" s="817"/>
      <c r="AL73" s="1791"/>
    </row>
    <row r="74" spans="1:38">
      <c r="A74" s="483"/>
      <c r="B74" s="159"/>
      <c r="C74" s="159"/>
      <c r="D74" s="1762" t="s">
        <v>568</v>
      </c>
      <c r="E74" s="839">
        <f t="shared" ref="E74:K74" si="66">E10</f>
        <v>1696</v>
      </c>
      <c r="F74" s="1441">
        <f t="shared" si="66"/>
        <v>3128</v>
      </c>
      <c r="G74" s="1465">
        <f t="shared" si="66"/>
        <v>949</v>
      </c>
      <c r="H74" s="820">
        <f t="shared" si="66"/>
        <v>914</v>
      </c>
      <c r="I74" s="820">
        <f t="shared" si="66"/>
        <v>839</v>
      </c>
      <c r="J74" s="820">
        <f t="shared" si="66"/>
        <v>789</v>
      </c>
      <c r="K74" s="872">
        <f t="shared" si="66"/>
        <v>744</v>
      </c>
      <c r="L74" s="804">
        <f t="shared" si="52"/>
        <v>4235</v>
      </c>
      <c r="M74" s="839">
        <f t="shared" ref="M74:Z74" si="67">M10</f>
        <v>1696</v>
      </c>
      <c r="N74" s="1441">
        <f t="shared" si="67"/>
        <v>3128</v>
      </c>
      <c r="O74" s="1465">
        <f t="shared" si="67"/>
        <v>949</v>
      </c>
      <c r="P74" s="820">
        <f t="shared" si="67"/>
        <v>914</v>
      </c>
      <c r="Q74" s="820">
        <f t="shared" si="67"/>
        <v>839</v>
      </c>
      <c r="R74" s="820">
        <f t="shared" si="67"/>
        <v>789</v>
      </c>
      <c r="S74" s="818">
        <f t="shared" si="67"/>
        <v>744</v>
      </c>
      <c r="T74" s="839">
        <f t="shared" si="67"/>
        <v>0</v>
      </c>
      <c r="U74" s="1441">
        <f t="shared" si="67"/>
        <v>0</v>
      </c>
      <c r="V74" s="1465">
        <f t="shared" si="67"/>
        <v>0</v>
      </c>
      <c r="W74" s="820">
        <f t="shared" si="67"/>
        <v>0</v>
      </c>
      <c r="X74" s="820">
        <f t="shared" si="67"/>
        <v>0</v>
      </c>
      <c r="Y74" s="820">
        <f t="shared" si="67"/>
        <v>0</v>
      </c>
      <c r="Z74" s="872">
        <f t="shared" si="67"/>
        <v>0</v>
      </c>
      <c r="AA74" s="912">
        <f t="shared" si="65"/>
        <v>0</v>
      </c>
      <c r="AB74" s="780"/>
      <c r="AC74" s="780"/>
      <c r="AD74" s="813"/>
      <c r="AE74" s="813"/>
      <c r="AF74" s="480"/>
      <c r="AG74" s="480"/>
      <c r="AH74" s="480"/>
      <c r="AI74" s="480"/>
      <c r="AJ74" s="480"/>
      <c r="AK74" s="814"/>
      <c r="AL74" s="1791"/>
    </row>
    <row r="75" spans="1:38">
      <c r="A75" s="483"/>
      <c r="B75" s="159"/>
      <c r="C75" s="159"/>
      <c r="D75" s="1762" t="s">
        <v>869</v>
      </c>
      <c r="E75" s="839">
        <f t="shared" ref="E75:K75" si="68">E35</f>
        <v>4</v>
      </c>
      <c r="F75" s="1441">
        <f t="shared" si="68"/>
        <v>55</v>
      </c>
      <c r="G75" s="1465">
        <f t="shared" si="68"/>
        <v>1713</v>
      </c>
      <c r="H75" s="820">
        <f t="shared" si="68"/>
        <v>38</v>
      </c>
      <c r="I75" s="820">
        <f t="shared" si="68"/>
        <v>72</v>
      </c>
      <c r="J75" s="820">
        <f t="shared" si="68"/>
        <v>61</v>
      </c>
      <c r="K75" s="872">
        <f t="shared" si="68"/>
        <v>43</v>
      </c>
      <c r="L75" s="804">
        <f t="shared" si="52"/>
        <v>1927</v>
      </c>
      <c r="M75" s="839">
        <f t="shared" ref="M75:Z75" si="69">M35</f>
        <v>4</v>
      </c>
      <c r="N75" s="1441">
        <f t="shared" si="69"/>
        <v>55</v>
      </c>
      <c r="O75" s="1465">
        <f t="shared" si="69"/>
        <v>1713</v>
      </c>
      <c r="P75" s="820">
        <f t="shared" si="69"/>
        <v>38</v>
      </c>
      <c r="Q75" s="820">
        <f t="shared" si="69"/>
        <v>72</v>
      </c>
      <c r="R75" s="820">
        <f t="shared" si="69"/>
        <v>61</v>
      </c>
      <c r="S75" s="818">
        <f t="shared" si="69"/>
        <v>43</v>
      </c>
      <c r="T75" s="839">
        <f t="shared" si="69"/>
        <v>0</v>
      </c>
      <c r="U75" s="1441">
        <f t="shared" si="69"/>
        <v>0</v>
      </c>
      <c r="V75" s="1465">
        <f t="shared" si="69"/>
        <v>0</v>
      </c>
      <c r="W75" s="820">
        <f t="shared" si="69"/>
        <v>0</v>
      </c>
      <c r="X75" s="820">
        <f t="shared" si="69"/>
        <v>0</v>
      </c>
      <c r="Y75" s="820">
        <f t="shared" si="69"/>
        <v>0</v>
      </c>
      <c r="Z75" s="872">
        <f t="shared" si="69"/>
        <v>0</v>
      </c>
      <c r="AA75" s="912">
        <f t="shared" si="65"/>
        <v>0</v>
      </c>
      <c r="AB75" s="780"/>
      <c r="AC75" s="780"/>
      <c r="AD75" s="813"/>
      <c r="AE75" s="813"/>
      <c r="AF75" s="480"/>
      <c r="AG75" s="480"/>
      <c r="AH75" s="480"/>
      <c r="AI75" s="480"/>
      <c r="AJ75" s="480"/>
      <c r="AK75" s="814"/>
      <c r="AL75" s="1791"/>
    </row>
    <row r="76" spans="1:38" ht="13.5" thickBot="1">
      <c r="A76" s="483"/>
      <c r="B76" s="159"/>
      <c r="C76" s="159"/>
      <c r="D76" s="1763" t="s">
        <v>569</v>
      </c>
      <c r="E76" s="1228">
        <f t="shared" ref="E76:K76" si="70">E47</f>
        <v>65</v>
      </c>
      <c r="F76" s="1471">
        <f t="shared" si="70"/>
        <v>30</v>
      </c>
      <c r="G76" s="1466">
        <f t="shared" si="70"/>
        <v>59</v>
      </c>
      <c r="H76" s="821">
        <f t="shared" si="70"/>
        <v>444</v>
      </c>
      <c r="I76" s="821">
        <f t="shared" si="70"/>
        <v>66</v>
      </c>
      <c r="J76" s="821">
        <f t="shared" si="70"/>
        <v>51</v>
      </c>
      <c r="K76" s="873">
        <f t="shared" si="70"/>
        <v>61</v>
      </c>
      <c r="L76" s="1484">
        <f t="shared" si="52"/>
        <v>681</v>
      </c>
      <c r="M76" s="1228">
        <f t="shared" ref="M76:Z76" si="71">M47</f>
        <v>65</v>
      </c>
      <c r="N76" s="1471">
        <f t="shared" si="71"/>
        <v>30</v>
      </c>
      <c r="O76" s="1466">
        <f t="shared" si="71"/>
        <v>59</v>
      </c>
      <c r="P76" s="821">
        <f t="shared" si="71"/>
        <v>444</v>
      </c>
      <c r="Q76" s="821">
        <f t="shared" si="71"/>
        <v>66</v>
      </c>
      <c r="R76" s="821">
        <f t="shared" si="71"/>
        <v>51</v>
      </c>
      <c r="S76" s="1229">
        <f t="shared" si="71"/>
        <v>61</v>
      </c>
      <c r="T76" s="1228">
        <f t="shared" si="71"/>
        <v>0</v>
      </c>
      <c r="U76" s="1471">
        <f t="shared" si="71"/>
        <v>0</v>
      </c>
      <c r="V76" s="1466">
        <f t="shared" si="71"/>
        <v>0</v>
      </c>
      <c r="W76" s="821">
        <f t="shared" si="71"/>
        <v>0</v>
      </c>
      <c r="X76" s="821">
        <f t="shared" si="71"/>
        <v>0</v>
      </c>
      <c r="Y76" s="821">
        <f t="shared" si="71"/>
        <v>0</v>
      </c>
      <c r="Z76" s="873">
        <f t="shared" si="71"/>
        <v>0</v>
      </c>
      <c r="AA76" s="915">
        <f t="shared" si="65"/>
        <v>0</v>
      </c>
      <c r="AB76" s="780"/>
      <c r="AC76" s="780"/>
      <c r="AD76" s="813"/>
      <c r="AE76" s="813"/>
      <c r="AF76" s="480"/>
      <c r="AG76" s="480"/>
      <c r="AH76" s="480"/>
      <c r="AI76" s="480"/>
      <c r="AJ76" s="480"/>
      <c r="AK76" s="814"/>
      <c r="AL76" s="1791"/>
    </row>
    <row r="77" spans="1:38">
      <c r="A77" s="483"/>
      <c r="B77" s="159"/>
      <c r="C77" s="159"/>
      <c r="D77" s="1764" t="s">
        <v>570</v>
      </c>
      <c r="E77" s="1230">
        <f>IFERROR(E74/E$73,0)</f>
        <v>0.96090651558073659</v>
      </c>
      <c r="F77" s="1472">
        <f>IFERROR(F74/F$73,0)</f>
        <v>0.97354497354497349</v>
      </c>
      <c r="G77" s="1467">
        <f t="shared" ref="G77:K77" si="72">IFERROR(G74/G$73,0)</f>
        <v>0.34876883498713707</v>
      </c>
      <c r="H77" s="822">
        <f t="shared" si="72"/>
        <v>0.6547277936962751</v>
      </c>
      <c r="I77" s="822">
        <f t="shared" si="72"/>
        <v>0.85875127942681684</v>
      </c>
      <c r="J77" s="822">
        <f t="shared" si="72"/>
        <v>0.87569367369589346</v>
      </c>
      <c r="K77" s="874">
        <f t="shared" si="72"/>
        <v>0.87735849056603776</v>
      </c>
      <c r="L77" s="1509">
        <f t="shared" si="52"/>
        <v>3.6153000723721602</v>
      </c>
      <c r="M77" s="1770">
        <f>IFERROR(M74/M$73,0)</f>
        <v>0.96090651558073659</v>
      </c>
      <c r="N77" s="1771">
        <f t="shared" ref="N77:Z77" si="73">IFERROR(N74/N$73,0)</f>
        <v>0.97354497354497349</v>
      </c>
      <c r="O77" s="1772">
        <f>IFERROR(O74/O$73,0)</f>
        <v>0.34876883498713707</v>
      </c>
      <c r="P77" s="1773">
        <f t="shared" si="73"/>
        <v>0.6547277936962751</v>
      </c>
      <c r="Q77" s="1773">
        <f t="shared" si="73"/>
        <v>0.85875127942681684</v>
      </c>
      <c r="R77" s="1773">
        <f t="shared" si="73"/>
        <v>0.87569367369589346</v>
      </c>
      <c r="S77" s="1773">
        <f t="shared" si="73"/>
        <v>0.87735849056603776</v>
      </c>
      <c r="T77" s="1774">
        <f t="shared" si="73"/>
        <v>0</v>
      </c>
      <c r="U77" s="1773">
        <f t="shared" si="73"/>
        <v>0</v>
      </c>
      <c r="V77" s="1774">
        <f t="shared" si="73"/>
        <v>0</v>
      </c>
      <c r="W77" s="1773">
        <f t="shared" si="73"/>
        <v>0</v>
      </c>
      <c r="X77" s="1773">
        <f t="shared" si="73"/>
        <v>0</v>
      </c>
      <c r="Y77" s="1773">
        <f t="shared" si="73"/>
        <v>0</v>
      </c>
      <c r="Z77" s="1771">
        <f t="shared" si="73"/>
        <v>0</v>
      </c>
      <c r="AA77" s="914"/>
      <c r="AB77" s="780"/>
      <c r="AC77" s="780"/>
      <c r="AD77" s="813"/>
      <c r="AE77" s="813"/>
      <c r="AF77" s="480"/>
      <c r="AG77" s="480"/>
      <c r="AH77" s="480"/>
      <c r="AI77" s="480"/>
      <c r="AJ77" s="480"/>
      <c r="AK77" s="814"/>
      <c r="AL77" s="1791"/>
    </row>
    <row r="78" spans="1:38">
      <c r="A78" s="483"/>
      <c r="B78" s="159"/>
      <c r="C78" s="159"/>
      <c r="D78" s="1762" t="s">
        <v>868</v>
      </c>
      <c r="E78" s="1231">
        <f t="shared" ref="E78" si="74">IFERROR(E75/E$73,0)</f>
        <v>2.2662889518413596E-3</v>
      </c>
      <c r="F78" s="1473">
        <f t="shared" ref="F78:K78" si="75">IFERROR(F75/F$73,0)</f>
        <v>1.7117958294428883E-2</v>
      </c>
      <c r="G78" s="1468">
        <f t="shared" si="75"/>
        <v>0.62954796030871008</v>
      </c>
      <c r="H78" s="823">
        <f t="shared" si="75"/>
        <v>2.7220630372492838E-2</v>
      </c>
      <c r="I78" s="823">
        <f t="shared" si="75"/>
        <v>7.3694984646878195E-2</v>
      </c>
      <c r="J78" s="823">
        <f t="shared" si="75"/>
        <v>6.7702552719200892E-2</v>
      </c>
      <c r="K78" s="875">
        <f t="shared" si="75"/>
        <v>5.0707547169811323E-2</v>
      </c>
      <c r="L78" s="1510">
        <f t="shared" si="52"/>
        <v>0.84887367521709323</v>
      </c>
      <c r="M78" s="1775">
        <f>IFERROR(M75/M$73,0)</f>
        <v>2.2662889518413596E-3</v>
      </c>
      <c r="N78" s="1776">
        <f>IFERROR(N75/N$73,0)</f>
        <v>1.7117958294428883E-2</v>
      </c>
      <c r="O78" s="1777">
        <f>IFERROR(O75/O$73,0)</f>
        <v>0.62954796030871008</v>
      </c>
      <c r="P78" s="1778">
        <f t="shared" ref="P78:Z78" si="76">IFERROR(P75/P$73,0)</f>
        <v>2.7220630372492838E-2</v>
      </c>
      <c r="Q78" s="1778">
        <f t="shared" si="76"/>
        <v>7.3694984646878195E-2</v>
      </c>
      <c r="R78" s="1778">
        <f t="shared" si="76"/>
        <v>6.7702552719200892E-2</v>
      </c>
      <c r="S78" s="1778">
        <f t="shared" si="76"/>
        <v>5.0707547169811323E-2</v>
      </c>
      <c r="T78" s="1779">
        <f t="shared" si="76"/>
        <v>0</v>
      </c>
      <c r="U78" s="1778">
        <f t="shared" si="76"/>
        <v>0</v>
      </c>
      <c r="V78" s="1779">
        <f t="shared" si="76"/>
        <v>0</v>
      </c>
      <c r="W78" s="1778">
        <f t="shared" si="76"/>
        <v>0</v>
      </c>
      <c r="X78" s="1778">
        <f t="shared" si="76"/>
        <v>0</v>
      </c>
      <c r="Y78" s="1778">
        <f t="shared" si="76"/>
        <v>0</v>
      </c>
      <c r="Z78" s="1776">
        <f t="shared" si="76"/>
        <v>0</v>
      </c>
      <c r="AA78" s="912"/>
      <c r="AB78" s="780"/>
      <c r="AC78" s="780"/>
      <c r="AD78" s="813"/>
      <c r="AE78" s="813"/>
      <c r="AF78" s="480"/>
      <c r="AG78" s="480"/>
      <c r="AH78" s="480"/>
      <c r="AI78" s="480"/>
      <c r="AJ78" s="480"/>
      <c r="AK78" s="814"/>
      <c r="AL78" s="1791"/>
    </row>
    <row r="79" spans="1:38" ht="13.5" thickBot="1">
      <c r="A79" s="483"/>
      <c r="B79" s="159"/>
      <c r="C79" s="159"/>
      <c r="D79" s="1765" t="s">
        <v>571</v>
      </c>
      <c r="E79" s="1232">
        <f t="shared" ref="E79" si="77">IFERROR(E76/E$73,0)</f>
        <v>3.6827195467422094E-2</v>
      </c>
      <c r="F79" s="1474">
        <f t="shared" ref="F79:K79" si="78">IFERROR(F76/F$73,0)</f>
        <v>9.3370681605975722E-3</v>
      </c>
      <c r="G79" s="1469">
        <f t="shared" si="78"/>
        <v>2.1683204704152886E-2</v>
      </c>
      <c r="H79" s="824">
        <f t="shared" si="78"/>
        <v>0.31805157593123207</v>
      </c>
      <c r="I79" s="824">
        <f t="shared" si="78"/>
        <v>6.7553735926305009E-2</v>
      </c>
      <c r="J79" s="824">
        <f t="shared" si="78"/>
        <v>5.6603773584905662E-2</v>
      </c>
      <c r="K79" s="876">
        <f t="shared" si="78"/>
        <v>7.1933962264150941E-2</v>
      </c>
      <c r="L79" s="1511">
        <f t="shared" si="52"/>
        <v>0.53582625241074655</v>
      </c>
      <c r="M79" s="1780">
        <f>IFERROR(M76/M$73,0)</f>
        <v>3.6827195467422094E-2</v>
      </c>
      <c r="N79" s="1781">
        <f t="shared" ref="N79:Z79" si="79">IFERROR(N76/N$73,0)</f>
        <v>9.3370681605975722E-3</v>
      </c>
      <c r="O79" s="1782">
        <f>IFERROR(O76/O$73,0)</f>
        <v>2.1683204704152886E-2</v>
      </c>
      <c r="P79" s="1783">
        <f t="shared" si="79"/>
        <v>0.31805157593123207</v>
      </c>
      <c r="Q79" s="1783">
        <f t="shared" si="79"/>
        <v>6.7553735926305009E-2</v>
      </c>
      <c r="R79" s="1783">
        <f t="shared" si="79"/>
        <v>5.6603773584905662E-2</v>
      </c>
      <c r="S79" s="1783">
        <f t="shared" si="79"/>
        <v>7.1933962264150941E-2</v>
      </c>
      <c r="T79" s="1784">
        <f t="shared" si="79"/>
        <v>0</v>
      </c>
      <c r="U79" s="1783">
        <f t="shared" si="79"/>
        <v>0</v>
      </c>
      <c r="V79" s="1784">
        <f t="shared" si="79"/>
        <v>0</v>
      </c>
      <c r="W79" s="1783">
        <f t="shared" si="79"/>
        <v>0</v>
      </c>
      <c r="X79" s="1783">
        <f t="shared" si="79"/>
        <v>0</v>
      </c>
      <c r="Y79" s="1783">
        <f t="shared" si="79"/>
        <v>0</v>
      </c>
      <c r="Z79" s="1781">
        <f t="shared" si="79"/>
        <v>0</v>
      </c>
      <c r="AA79" s="913"/>
      <c r="AB79" s="780"/>
      <c r="AC79" s="780"/>
      <c r="AD79" s="813"/>
      <c r="AE79" s="813"/>
      <c r="AF79" s="480"/>
      <c r="AG79" s="480"/>
      <c r="AH79" s="480"/>
      <c r="AI79" s="480"/>
      <c r="AJ79" s="480"/>
      <c r="AK79" s="814"/>
      <c r="AL79" s="1791"/>
    </row>
    <row r="80" spans="1:38" ht="13.5" thickBot="1">
      <c r="A80" s="483"/>
      <c r="B80" s="159"/>
      <c r="C80" s="159"/>
      <c r="D80" s="1760"/>
      <c r="E80" s="838"/>
      <c r="F80" s="838"/>
      <c r="G80" s="811"/>
      <c r="H80" s="811"/>
      <c r="I80" s="811"/>
      <c r="J80" s="811"/>
      <c r="K80" s="819"/>
      <c r="L80" s="819"/>
      <c r="M80" s="838"/>
      <c r="N80" s="838"/>
      <c r="O80" s="811"/>
      <c r="P80" s="811"/>
      <c r="Q80" s="811"/>
      <c r="R80" s="811"/>
      <c r="S80" s="819"/>
      <c r="T80" s="857"/>
      <c r="U80" s="857"/>
      <c r="V80" s="819"/>
      <c r="W80" s="819"/>
      <c r="X80" s="819"/>
      <c r="Y80" s="819"/>
      <c r="Z80" s="819"/>
      <c r="AA80" s="906"/>
      <c r="AB80" s="780"/>
      <c r="AC80" s="780"/>
      <c r="AD80" s="813"/>
      <c r="AE80" s="813"/>
      <c r="AF80" s="480"/>
      <c r="AG80" s="480"/>
      <c r="AH80" s="480"/>
      <c r="AI80" s="480"/>
      <c r="AJ80" s="480"/>
      <c r="AK80" s="814"/>
      <c r="AL80" s="1791"/>
    </row>
    <row r="81" spans="1:38" s="1440" customFormat="1">
      <c r="A81" s="1756"/>
      <c r="B81" s="1436"/>
      <c r="C81" s="1436"/>
      <c r="D81" s="1761" t="s">
        <v>572</v>
      </c>
      <c r="E81" s="1226">
        <f>E56+E59</f>
        <v>392</v>
      </c>
      <c r="F81" s="1470">
        <f t="shared" ref="F81:K81" si="80">F56+F59</f>
        <v>427</v>
      </c>
      <c r="G81" s="1464">
        <f>G56+G59</f>
        <v>240</v>
      </c>
      <c r="H81" s="905">
        <f t="shared" si="80"/>
        <v>235</v>
      </c>
      <c r="I81" s="905">
        <f t="shared" si="80"/>
        <v>230</v>
      </c>
      <c r="J81" s="905">
        <f t="shared" si="80"/>
        <v>240</v>
      </c>
      <c r="K81" s="910">
        <f t="shared" si="80"/>
        <v>250</v>
      </c>
      <c r="L81" s="1485">
        <f t="shared" si="52"/>
        <v>1195</v>
      </c>
      <c r="M81" s="1226">
        <f t="shared" ref="M81:Z81" si="81">M56+M59</f>
        <v>392</v>
      </c>
      <c r="N81" s="1470">
        <f t="shared" si="81"/>
        <v>427</v>
      </c>
      <c r="O81" s="1464">
        <f t="shared" si="81"/>
        <v>240</v>
      </c>
      <c r="P81" s="905">
        <f t="shared" si="81"/>
        <v>235</v>
      </c>
      <c r="Q81" s="905">
        <f t="shared" si="81"/>
        <v>230</v>
      </c>
      <c r="R81" s="905">
        <f t="shared" si="81"/>
        <v>240</v>
      </c>
      <c r="S81" s="1227">
        <f t="shared" si="81"/>
        <v>250</v>
      </c>
      <c r="T81" s="1226">
        <f t="shared" si="81"/>
        <v>0</v>
      </c>
      <c r="U81" s="1470">
        <f t="shared" si="81"/>
        <v>0</v>
      </c>
      <c r="V81" s="1464">
        <f t="shared" si="81"/>
        <v>0</v>
      </c>
      <c r="W81" s="905">
        <f t="shared" si="81"/>
        <v>0</v>
      </c>
      <c r="X81" s="905">
        <f t="shared" si="81"/>
        <v>0</v>
      </c>
      <c r="Y81" s="905">
        <f t="shared" si="81"/>
        <v>0</v>
      </c>
      <c r="Z81" s="910">
        <f t="shared" si="81"/>
        <v>0</v>
      </c>
      <c r="AA81" s="1437">
        <f t="shared" ref="AA81:AA98" si="82">L81-SUM(O81:S81)-SUM(V81:Z81)</f>
        <v>0</v>
      </c>
      <c r="AB81" s="825"/>
      <c r="AC81" s="825"/>
      <c r="AD81" s="826"/>
      <c r="AE81" s="826"/>
      <c r="AF81" s="1787"/>
      <c r="AG81" s="1787"/>
      <c r="AH81" s="1787"/>
      <c r="AI81" s="1787"/>
      <c r="AJ81" s="1787"/>
      <c r="AK81" s="1439"/>
      <c r="AL81" s="1793"/>
    </row>
    <row r="82" spans="1:38">
      <c r="A82" s="483"/>
      <c r="B82" s="159"/>
      <c r="C82" s="159"/>
      <c r="D82" s="1762" t="s">
        <v>568</v>
      </c>
      <c r="E82" s="840">
        <f t="shared" ref="E82:K82" si="83">E77*E$81</f>
        <v>376.67535410764873</v>
      </c>
      <c r="F82" s="1481">
        <f>F77*F$81</f>
        <v>415.7037037037037</v>
      </c>
      <c r="G82" s="828">
        <f t="shared" si="83"/>
        <v>83.704520396912898</v>
      </c>
      <c r="H82" s="827">
        <f t="shared" si="83"/>
        <v>153.86103151862466</v>
      </c>
      <c r="I82" s="827">
        <f t="shared" si="83"/>
        <v>197.51279426816788</v>
      </c>
      <c r="J82" s="827">
        <f t="shared" si="83"/>
        <v>210.16648168701443</v>
      </c>
      <c r="K82" s="1475">
        <f t="shared" si="83"/>
        <v>219.33962264150944</v>
      </c>
      <c r="L82" s="804">
        <f t="shared" si="52"/>
        <v>864.5844505122293</v>
      </c>
      <c r="M82" s="839">
        <f>E77*M$81</f>
        <v>376.67535410764873</v>
      </c>
      <c r="N82" s="1481">
        <f t="shared" ref="N82:S82" si="84">F77*N$81</f>
        <v>415.7037037037037</v>
      </c>
      <c r="O82" s="1465">
        <f t="shared" si="84"/>
        <v>83.704520396912898</v>
      </c>
      <c r="P82" s="820">
        <f>H77*P$81</f>
        <v>153.86103151862466</v>
      </c>
      <c r="Q82" s="820">
        <f t="shared" si="84"/>
        <v>197.51279426816788</v>
      </c>
      <c r="R82" s="820">
        <f t="shared" si="84"/>
        <v>210.16648168701443</v>
      </c>
      <c r="S82" s="818">
        <f t="shared" si="84"/>
        <v>219.33962264150944</v>
      </c>
      <c r="T82" s="840">
        <f>E77*T$81</f>
        <v>0</v>
      </c>
      <c r="U82" s="1481">
        <f t="shared" ref="U82:Z82" si="85">F77*U$81</f>
        <v>0</v>
      </c>
      <c r="V82" s="1479">
        <f t="shared" si="85"/>
        <v>0</v>
      </c>
      <c r="W82" s="850">
        <f t="shared" si="85"/>
        <v>0</v>
      </c>
      <c r="X82" s="850">
        <f t="shared" si="85"/>
        <v>0</v>
      </c>
      <c r="Y82" s="850">
        <f t="shared" si="85"/>
        <v>0</v>
      </c>
      <c r="Z82" s="850">
        <f t="shared" si="85"/>
        <v>0</v>
      </c>
      <c r="AA82" s="915">
        <f t="shared" si="82"/>
        <v>0</v>
      </c>
      <c r="AB82" s="780"/>
      <c r="AC82" s="780"/>
      <c r="AD82" s="813"/>
      <c r="AE82" s="813"/>
      <c r="AF82" s="480"/>
      <c r="AG82" s="480"/>
      <c r="AH82" s="480"/>
      <c r="AI82" s="480"/>
      <c r="AJ82" s="480"/>
      <c r="AK82" s="814"/>
      <c r="AL82" s="1791"/>
    </row>
    <row r="83" spans="1:38">
      <c r="A83" s="483"/>
      <c r="B83" s="159"/>
      <c r="C83" s="159"/>
      <c r="D83" s="1762" t="s">
        <v>869</v>
      </c>
      <c r="E83" s="839">
        <f>E78*E$81</f>
        <v>0.88838526912181293</v>
      </c>
      <c r="F83" s="1481">
        <f t="shared" ref="F83:G84" si="86">F78*F$81</f>
        <v>7.3093681917211333</v>
      </c>
      <c r="G83" s="828">
        <f t="shared" si="86"/>
        <v>151.09151047409043</v>
      </c>
      <c r="H83" s="827">
        <f t="shared" ref="H83:K83" si="87">H78*H$81</f>
        <v>6.3968481375358168</v>
      </c>
      <c r="I83" s="827">
        <f t="shared" si="87"/>
        <v>16.949846468781985</v>
      </c>
      <c r="J83" s="827">
        <f t="shared" si="87"/>
        <v>16.248612652608216</v>
      </c>
      <c r="K83" s="1475">
        <f t="shared" si="87"/>
        <v>12.67688679245283</v>
      </c>
      <c r="L83" s="804">
        <f t="shared" si="52"/>
        <v>203.36370452546927</v>
      </c>
      <c r="M83" s="839">
        <f>E78*M$81</f>
        <v>0.88838526912181293</v>
      </c>
      <c r="N83" s="1441">
        <f t="shared" ref="N83:S83" si="88">F78*N$81</f>
        <v>7.3093681917211333</v>
      </c>
      <c r="O83" s="1225">
        <f>G78*O$81</f>
        <v>151.09151047409043</v>
      </c>
      <c r="P83" s="849">
        <f>H78*P$81</f>
        <v>6.3968481375358168</v>
      </c>
      <c r="Q83" s="849">
        <f t="shared" si="88"/>
        <v>16.949846468781985</v>
      </c>
      <c r="R83" s="849">
        <f t="shared" si="88"/>
        <v>16.248612652608216</v>
      </c>
      <c r="S83" s="1441">
        <f t="shared" si="88"/>
        <v>12.67688679245283</v>
      </c>
      <c r="T83" s="839">
        <f>E78*T$81</f>
        <v>0</v>
      </c>
      <c r="U83" s="1441">
        <f t="shared" ref="U83:Z83" si="89">F78*U$81</f>
        <v>0</v>
      </c>
      <c r="V83" s="1225">
        <f t="shared" si="89"/>
        <v>0</v>
      </c>
      <c r="W83" s="849">
        <f t="shared" si="89"/>
        <v>0</v>
      </c>
      <c r="X83" s="849">
        <f t="shared" si="89"/>
        <v>0</v>
      </c>
      <c r="Y83" s="849">
        <f t="shared" si="89"/>
        <v>0</v>
      </c>
      <c r="Z83" s="849">
        <f t="shared" si="89"/>
        <v>0</v>
      </c>
      <c r="AA83" s="915">
        <f t="shared" si="82"/>
        <v>0</v>
      </c>
      <c r="AB83" s="780"/>
      <c r="AC83" s="780"/>
      <c r="AD83" s="813"/>
      <c r="AE83" s="813"/>
      <c r="AF83" s="480"/>
      <c r="AG83" s="480"/>
      <c r="AH83" s="480"/>
      <c r="AI83" s="480"/>
      <c r="AJ83" s="480"/>
      <c r="AK83" s="814"/>
      <c r="AL83" s="1791"/>
    </row>
    <row r="84" spans="1:38" ht="13.5" thickBot="1">
      <c r="A84" s="483"/>
      <c r="B84" s="159"/>
      <c r="C84" s="159"/>
      <c r="D84" s="1765" t="s">
        <v>569</v>
      </c>
      <c r="E84" s="843">
        <f>E79*E$81</f>
        <v>14.436260623229462</v>
      </c>
      <c r="F84" s="1482">
        <f t="shared" si="86"/>
        <v>3.9869281045751634</v>
      </c>
      <c r="G84" s="1477">
        <f t="shared" si="86"/>
        <v>5.2039691289966932</v>
      </c>
      <c r="H84" s="829">
        <f t="shared" ref="H84:K84" si="90">H79*H$81</f>
        <v>74.742120343839531</v>
      </c>
      <c r="I84" s="829">
        <f t="shared" si="90"/>
        <v>15.537359263050153</v>
      </c>
      <c r="J84" s="829">
        <f t="shared" si="90"/>
        <v>13.584905660377359</v>
      </c>
      <c r="K84" s="1476">
        <f t="shared" si="90"/>
        <v>17.983490566037734</v>
      </c>
      <c r="L84" s="1486">
        <f t="shared" si="52"/>
        <v>127.05184496230146</v>
      </c>
      <c r="M84" s="843">
        <f>E79*M$81</f>
        <v>14.436260623229462</v>
      </c>
      <c r="N84" s="1442">
        <f t="shared" ref="N84:S84" si="91">F79*N$81</f>
        <v>3.9869281045751634</v>
      </c>
      <c r="O84" s="1480">
        <f t="shared" si="91"/>
        <v>5.2039691289966932</v>
      </c>
      <c r="P84" s="852">
        <f t="shared" si="91"/>
        <v>74.742120343839531</v>
      </c>
      <c r="Q84" s="852">
        <f t="shared" si="91"/>
        <v>15.537359263050153</v>
      </c>
      <c r="R84" s="852">
        <f t="shared" si="91"/>
        <v>13.584905660377359</v>
      </c>
      <c r="S84" s="1442">
        <f t="shared" si="91"/>
        <v>17.983490566037734</v>
      </c>
      <c r="T84" s="841">
        <f>E79*T$81</f>
        <v>0</v>
      </c>
      <c r="U84" s="1482">
        <f t="shared" ref="U84:Z84" si="92">F79*U$81</f>
        <v>0</v>
      </c>
      <c r="V84" s="1483">
        <f t="shared" si="92"/>
        <v>0</v>
      </c>
      <c r="W84" s="851">
        <f t="shared" si="92"/>
        <v>0</v>
      </c>
      <c r="X84" s="851">
        <f t="shared" si="92"/>
        <v>0</v>
      </c>
      <c r="Y84" s="851">
        <f t="shared" si="92"/>
        <v>0</v>
      </c>
      <c r="Z84" s="851">
        <f t="shared" si="92"/>
        <v>0</v>
      </c>
      <c r="AA84" s="913">
        <f t="shared" si="82"/>
        <v>0</v>
      </c>
      <c r="AB84" s="780"/>
      <c r="AC84" s="780"/>
      <c r="AD84" s="813"/>
      <c r="AE84" s="813"/>
      <c r="AF84" s="480"/>
      <c r="AG84" s="480"/>
      <c r="AH84" s="480"/>
      <c r="AI84" s="480"/>
      <c r="AJ84" s="480"/>
      <c r="AK84" s="814"/>
      <c r="AL84" s="1791"/>
    </row>
    <row r="85" spans="1:38" ht="13.5" thickBot="1">
      <c r="A85" s="483"/>
      <c r="B85" s="159"/>
      <c r="C85" s="159"/>
      <c r="D85" s="1766"/>
      <c r="E85" s="842"/>
      <c r="F85" s="842"/>
      <c r="G85" s="830"/>
      <c r="H85" s="830"/>
      <c r="I85" s="830"/>
      <c r="J85" s="830"/>
      <c r="K85" s="831"/>
      <c r="L85" s="812"/>
      <c r="M85" s="848"/>
      <c r="N85" s="848"/>
      <c r="O85" s="812"/>
      <c r="P85" s="812"/>
      <c r="Q85" s="812"/>
      <c r="R85" s="812"/>
      <c r="S85" s="812"/>
      <c r="T85" s="848"/>
      <c r="U85" s="848"/>
      <c r="V85" s="812"/>
      <c r="W85" s="812"/>
      <c r="X85" s="812"/>
      <c r="Y85" s="812"/>
      <c r="Z85" s="812"/>
      <c r="AA85" s="481"/>
      <c r="AB85" s="780"/>
      <c r="AC85" s="780"/>
      <c r="AD85" s="813"/>
      <c r="AE85" s="813"/>
      <c r="AF85" s="480"/>
      <c r="AG85" s="480"/>
      <c r="AH85" s="480"/>
      <c r="AI85" s="480"/>
      <c r="AJ85" s="480"/>
      <c r="AK85" s="814"/>
      <c r="AL85" s="1791"/>
    </row>
    <row r="86" spans="1:38" s="184" customFormat="1" ht="24">
      <c r="A86" s="1756"/>
      <c r="B86" s="1436"/>
      <c r="C86" s="1436"/>
      <c r="D86" s="1767" t="s">
        <v>573</v>
      </c>
      <c r="E86" s="1443">
        <f>SUM(E87:E89)</f>
        <v>2157</v>
      </c>
      <c r="F86" s="908">
        <f>SUM(F87:F89)</f>
        <v>3640</v>
      </c>
      <c r="G86" s="1448">
        <f t="shared" ref="G86:K86" si="93">SUM(G87:G89)</f>
        <v>2961</v>
      </c>
      <c r="H86" s="907">
        <f t="shared" si="93"/>
        <v>1631.0000000000002</v>
      </c>
      <c r="I86" s="907">
        <f t="shared" si="93"/>
        <v>1207</v>
      </c>
      <c r="J86" s="907">
        <f t="shared" si="93"/>
        <v>1141</v>
      </c>
      <c r="K86" s="908">
        <f t="shared" si="93"/>
        <v>1098</v>
      </c>
      <c r="L86" s="1485">
        <f t="shared" si="52"/>
        <v>8038</v>
      </c>
      <c r="M86" s="1443">
        <f>SUM(M87:M89)</f>
        <v>2157</v>
      </c>
      <c r="N86" s="908">
        <f>SUM(N87:N89)</f>
        <v>3640</v>
      </c>
      <c r="O86" s="1448">
        <f t="shared" ref="O86:S86" si="94">SUM(O87:O89)</f>
        <v>2961</v>
      </c>
      <c r="P86" s="907">
        <f t="shared" si="94"/>
        <v>1631.0000000000002</v>
      </c>
      <c r="Q86" s="907">
        <f t="shared" si="94"/>
        <v>1207</v>
      </c>
      <c r="R86" s="907">
        <f t="shared" si="94"/>
        <v>1141</v>
      </c>
      <c r="S86" s="908">
        <f t="shared" si="94"/>
        <v>1098</v>
      </c>
      <c r="T86" s="1443">
        <f t="shared" ref="T86:X86" si="95">SUM(T87:T89)</f>
        <v>0</v>
      </c>
      <c r="U86" s="908">
        <f t="shared" si="95"/>
        <v>0</v>
      </c>
      <c r="V86" s="1448">
        <f t="shared" si="95"/>
        <v>0</v>
      </c>
      <c r="W86" s="907">
        <f t="shared" si="95"/>
        <v>0</v>
      </c>
      <c r="X86" s="907">
        <f t="shared" si="95"/>
        <v>0</v>
      </c>
      <c r="Y86" s="907">
        <f t="shared" ref="Y86:Z86" si="96">SUM(Y87:Y89)</f>
        <v>0</v>
      </c>
      <c r="Z86" s="908">
        <f t="shared" si="96"/>
        <v>0</v>
      </c>
      <c r="AA86" s="1437">
        <f t="shared" si="82"/>
        <v>0</v>
      </c>
      <c r="AB86" s="832"/>
      <c r="AC86" s="832"/>
      <c r="AD86" s="833"/>
      <c r="AE86" s="833"/>
      <c r="AF86" s="1788"/>
      <c r="AG86" s="1788"/>
      <c r="AH86" s="1788"/>
      <c r="AI86" s="1788"/>
      <c r="AJ86" s="1788"/>
      <c r="AK86" s="1438"/>
      <c r="AL86" s="1793"/>
    </row>
    <row r="87" spans="1:38">
      <c r="A87" s="532"/>
      <c r="B87" s="1121"/>
      <c r="C87" s="1121"/>
      <c r="D87" s="1762" t="s">
        <v>568</v>
      </c>
      <c r="E87" s="1444">
        <f>E74+E82</f>
        <v>2072.6753541076487</v>
      </c>
      <c r="F87" s="818">
        <f>F74+F82</f>
        <v>3543.7037037037035</v>
      </c>
      <c r="G87" s="1465">
        <f t="shared" ref="G87:K87" si="97">G74+G82</f>
        <v>1032.7045203969128</v>
      </c>
      <c r="H87" s="820">
        <f t="shared" si="97"/>
        <v>1067.8610315186247</v>
      </c>
      <c r="I87" s="820">
        <f t="shared" si="97"/>
        <v>1036.5127942681679</v>
      </c>
      <c r="J87" s="820">
        <f t="shared" si="97"/>
        <v>999.16648168701443</v>
      </c>
      <c r="K87" s="818">
        <f t="shared" si="97"/>
        <v>963.33962264150944</v>
      </c>
      <c r="L87" s="804">
        <f t="shared" si="52"/>
        <v>5099.5844505122295</v>
      </c>
      <c r="M87" s="1445">
        <f>M74+M82</f>
        <v>2072.6753541076487</v>
      </c>
      <c r="N87" s="818">
        <f>N74+N82</f>
        <v>3543.7037037037035</v>
      </c>
      <c r="O87" s="1465">
        <f t="shared" ref="O87:S87" si="98">O74+O82</f>
        <v>1032.7045203969128</v>
      </c>
      <c r="P87" s="820">
        <f t="shared" si="98"/>
        <v>1067.8610315186247</v>
      </c>
      <c r="Q87" s="820">
        <f t="shared" si="98"/>
        <v>1036.5127942681679</v>
      </c>
      <c r="R87" s="820">
        <f t="shared" si="98"/>
        <v>999.16648168701443</v>
      </c>
      <c r="S87" s="818">
        <f t="shared" si="98"/>
        <v>963.33962264150944</v>
      </c>
      <c r="T87" s="1445">
        <f t="shared" ref="T87:X87" si="99">T74+T82</f>
        <v>0</v>
      </c>
      <c r="U87" s="818">
        <f t="shared" si="99"/>
        <v>0</v>
      </c>
      <c r="V87" s="1465">
        <f t="shared" si="99"/>
        <v>0</v>
      </c>
      <c r="W87" s="820">
        <f t="shared" si="99"/>
        <v>0</v>
      </c>
      <c r="X87" s="820">
        <f t="shared" si="99"/>
        <v>0</v>
      </c>
      <c r="Y87" s="820">
        <f t="shared" ref="Y87:Z87" si="100">Y74+Y82</f>
        <v>0</v>
      </c>
      <c r="Z87" s="818">
        <f t="shared" si="100"/>
        <v>0</v>
      </c>
      <c r="AA87" s="915">
        <f t="shared" si="82"/>
        <v>0</v>
      </c>
      <c r="AB87" s="780"/>
      <c r="AC87" s="780"/>
      <c r="AD87" s="813"/>
      <c r="AE87" s="813"/>
      <c r="AF87" s="480"/>
      <c r="AG87" s="480"/>
      <c r="AH87" s="480"/>
      <c r="AI87" s="480"/>
      <c r="AJ87" s="480"/>
      <c r="AK87" s="814"/>
      <c r="AL87" s="1791"/>
    </row>
    <row r="88" spans="1:38">
      <c r="A88" s="532"/>
      <c r="B88" s="1121"/>
      <c r="C88" s="1121"/>
      <c r="D88" s="1762" t="s">
        <v>869</v>
      </c>
      <c r="E88" s="1444">
        <f>E75+E83</f>
        <v>4.8883852691218133</v>
      </c>
      <c r="F88" s="818">
        <f t="shared" ref="F88:K89" si="101">F75+F83</f>
        <v>62.309368191721134</v>
      </c>
      <c r="G88" s="1465">
        <f t="shared" si="101"/>
        <v>1864.0915104740905</v>
      </c>
      <c r="H88" s="820">
        <f t="shared" si="101"/>
        <v>44.396848137535819</v>
      </c>
      <c r="I88" s="820">
        <f t="shared" si="101"/>
        <v>88.949846468781985</v>
      </c>
      <c r="J88" s="820">
        <f t="shared" si="101"/>
        <v>77.248612652608216</v>
      </c>
      <c r="K88" s="818">
        <f t="shared" si="101"/>
        <v>55.676886792452834</v>
      </c>
      <c r="L88" s="804">
        <f t="shared" si="52"/>
        <v>2130.3637045254695</v>
      </c>
      <c r="M88" s="1445">
        <f t="shared" ref="M88:S88" si="102">M75+M83</f>
        <v>4.8883852691218133</v>
      </c>
      <c r="N88" s="818">
        <f t="shared" si="102"/>
        <v>62.309368191721134</v>
      </c>
      <c r="O88" s="1465">
        <f t="shared" si="102"/>
        <v>1864.0915104740905</v>
      </c>
      <c r="P88" s="820">
        <f t="shared" si="102"/>
        <v>44.396848137535819</v>
      </c>
      <c r="Q88" s="820">
        <f t="shared" si="102"/>
        <v>88.949846468781985</v>
      </c>
      <c r="R88" s="820">
        <f t="shared" si="102"/>
        <v>77.248612652608216</v>
      </c>
      <c r="S88" s="818">
        <f t="shared" si="102"/>
        <v>55.676886792452834</v>
      </c>
      <c r="T88" s="1445">
        <f t="shared" ref="T88:X88" si="103">T75+T83</f>
        <v>0</v>
      </c>
      <c r="U88" s="818">
        <f t="shared" si="103"/>
        <v>0</v>
      </c>
      <c r="V88" s="1465">
        <f t="shared" si="103"/>
        <v>0</v>
      </c>
      <c r="W88" s="820">
        <f t="shared" si="103"/>
        <v>0</v>
      </c>
      <c r="X88" s="820">
        <f t="shared" si="103"/>
        <v>0</v>
      </c>
      <c r="Y88" s="820">
        <f t="shared" ref="Y88:Z88" si="104">Y75+Y83</f>
        <v>0</v>
      </c>
      <c r="Z88" s="818">
        <f t="shared" si="104"/>
        <v>0</v>
      </c>
      <c r="AA88" s="915">
        <f t="shared" si="82"/>
        <v>0</v>
      </c>
      <c r="AB88" s="780"/>
      <c r="AC88" s="780"/>
      <c r="AD88" s="813"/>
      <c r="AE88" s="813"/>
      <c r="AF88" s="480"/>
      <c r="AG88" s="480"/>
      <c r="AH88" s="480"/>
      <c r="AI88" s="480"/>
      <c r="AJ88" s="480"/>
      <c r="AK88" s="814"/>
      <c r="AL88" s="1791"/>
    </row>
    <row r="89" spans="1:38" ht="13.5" thickBot="1">
      <c r="A89" s="532"/>
      <c r="B89" s="1121"/>
      <c r="C89" s="1121"/>
      <c r="D89" s="1765" t="s">
        <v>569</v>
      </c>
      <c r="E89" s="1446">
        <f>E76+E84</f>
        <v>79.436260623229458</v>
      </c>
      <c r="F89" s="835">
        <f t="shared" si="101"/>
        <v>33.986928104575163</v>
      </c>
      <c r="G89" s="1478">
        <f t="shared" si="101"/>
        <v>64.20396912899669</v>
      </c>
      <c r="H89" s="834">
        <f t="shared" si="101"/>
        <v>518.74212034383959</v>
      </c>
      <c r="I89" s="834">
        <f t="shared" si="101"/>
        <v>81.537359263050149</v>
      </c>
      <c r="J89" s="834">
        <f t="shared" si="101"/>
        <v>64.584905660377359</v>
      </c>
      <c r="K89" s="835">
        <f t="shared" si="101"/>
        <v>78.98349056603773</v>
      </c>
      <c r="L89" s="1486">
        <f t="shared" si="52"/>
        <v>808.05184496230152</v>
      </c>
      <c r="M89" s="1447">
        <f t="shared" ref="M89:S89" si="105">M76+M84</f>
        <v>79.436260623229458</v>
      </c>
      <c r="N89" s="835">
        <f t="shared" si="105"/>
        <v>33.986928104575163</v>
      </c>
      <c r="O89" s="1478">
        <f t="shared" si="105"/>
        <v>64.20396912899669</v>
      </c>
      <c r="P89" s="834">
        <f t="shared" si="105"/>
        <v>518.74212034383959</v>
      </c>
      <c r="Q89" s="834">
        <f t="shared" si="105"/>
        <v>81.537359263050149</v>
      </c>
      <c r="R89" s="834">
        <f t="shared" si="105"/>
        <v>64.584905660377359</v>
      </c>
      <c r="S89" s="835">
        <f t="shared" si="105"/>
        <v>78.98349056603773</v>
      </c>
      <c r="T89" s="1447">
        <f t="shared" ref="T89:X89" si="106">T76+T84</f>
        <v>0</v>
      </c>
      <c r="U89" s="835">
        <f t="shared" si="106"/>
        <v>0</v>
      </c>
      <c r="V89" s="1478">
        <f t="shared" si="106"/>
        <v>0</v>
      </c>
      <c r="W89" s="834">
        <f t="shared" si="106"/>
        <v>0</v>
      </c>
      <c r="X89" s="834">
        <f t="shared" si="106"/>
        <v>0</v>
      </c>
      <c r="Y89" s="834">
        <f t="shared" ref="Y89:Z89" si="107">Y76+Y84</f>
        <v>0</v>
      </c>
      <c r="Z89" s="835">
        <f t="shared" si="107"/>
        <v>0</v>
      </c>
      <c r="AA89" s="913">
        <f t="shared" si="82"/>
        <v>0</v>
      </c>
      <c r="AB89" s="780"/>
      <c r="AC89" s="2015"/>
      <c r="AD89" s="813"/>
      <c r="AE89" s="813"/>
      <c r="AF89" s="480"/>
      <c r="AG89" s="480"/>
      <c r="AH89" s="480"/>
      <c r="AI89" s="480"/>
      <c r="AJ89" s="480"/>
      <c r="AK89" s="814"/>
      <c r="AL89" s="1791"/>
    </row>
    <row r="90" spans="1:38" ht="13.5" thickBot="1">
      <c r="F90" s="845"/>
      <c r="G90" s="515"/>
      <c r="H90" s="515"/>
      <c r="I90" s="515"/>
      <c r="J90" s="515"/>
      <c r="K90" s="515"/>
      <c r="L90" s="481"/>
      <c r="M90" s="853"/>
      <c r="N90" s="853"/>
      <c r="O90" s="481"/>
      <c r="P90" s="481"/>
      <c r="Q90" s="481"/>
      <c r="R90" s="481"/>
      <c r="S90" s="481"/>
      <c r="T90" s="853"/>
      <c r="U90" s="853"/>
      <c r="V90" s="481"/>
      <c r="W90" s="481"/>
      <c r="X90" s="481"/>
      <c r="Y90" s="481"/>
      <c r="Z90" s="481"/>
      <c r="AA90" s="481"/>
      <c r="AB90" s="238"/>
      <c r="AC90" s="238"/>
      <c r="AD90" s="537"/>
      <c r="AE90" s="537"/>
      <c r="AL90" s="1791"/>
    </row>
    <row r="91" spans="1:38">
      <c r="D91" s="1767" t="s">
        <v>1249</v>
      </c>
      <c r="E91" s="1443">
        <f>SUM(E92:E94)</f>
        <v>704</v>
      </c>
      <c r="F91" s="908">
        <f t="shared" ref="F91:K91" si="108">SUM(F92:F94)</f>
        <v>1530</v>
      </c>
      <c r="G91" s="1448">
        <f t="shared" si="108"/>
        <v>2119</v>
      </c>
      <c r="H91" s="907">
        <f t="shared" si="108"/>
        <v>834</v>
      </c>
      <c r="I91" s="907">
        <f t="shared" si="108"/>
        <v>429</v>
      </c>
      <c r="J91" s="907">
        <f t="shared" si="108"/>
        <v>379</v>
      </c>
      <c r="K91" s="908">
        <f t="shared" si="108"/>
        <v>399</v>
      </c>
      <c r="L91" s="1485">
        <f t="shared" si="52"/>
        <v>4160</v>
      </c>
      <c r="M91" s="1443">
        <f t="shared" ref="M91" si="109">SUM(M92:M94)</f>
        <v>704</v>
      </c>
      <c r="N91" s="908">
        <f t="shared" ref="N91" si="110">SUM(N92:N94)</f>
        <v>1530</v>
      </c>
      <c r="O91" s="1448">
        <f t="shared" ref="O91" si="111">SUM(O92:O94)</f>
        <v>2119</v>
      </c>
      <c r="P91" s="907">
        <f t="shared" ref="P91" si="112">SUM(P92:P94)</f>
        <v>834</v>
      </c>
      <c r="Q91" s="907">
        <f t="shared" ref="Q91" si="113">SUM(Q92:Q94)</f>
        <v>429</v>
      </c>
      <c r="R91" s="907">
        <f t="shared" ref="R91" si="114">SUM(R92:R94)</f>
        <v>379</v>
      </c>
      <c r="S91" s="909">
        <f t="shared" ref="S91" si="115">SUM(S92:S94)</f>
        <v>399</v>
      </c>
      <c r="T91" s="1443">
        <f t="shared" ref="T91" si="116">SUM(T92:T94)</f>
        <v>0</v>
      </c>
      <c r="U91" s="908">
        <f t="shared" ref="U91" si="117">SUM(U92:U94)</f>
        <v>0</v>
      </c>
      <c r="V91" s="1448">
        <f t="shared" ref="V91" si="118">SUM(V92:V94)</f>
        <v>0</v>
      </c>
      <c r="W91" s="907">
        <f t="shared" ref="W91" si="119">SUM(W92:W94)</f>
        <v>0</v>
      </c>
      <c r="X91" s="907">
        <f t="shared" ref="X91" si="120">SUM(X92:X94)</f>
        <v>0</v>
      </c>
      <c r="Y91" s="907">
        <f t="shared" ref="Y91" si="121">SUM(Y92:Y94)</f>
        <v>0</v>
      </c>
      <c r="Z91" s="908">
        <f t="shared" ref="Z91" si="122">SUM(Z92:Z94)</f>
        <v>0</v>
      </c>
      <c r="AA91" s="1233">
        <f t="shared" si="82"/>
        <v>0</v>
      </c>
      <c r="AB91" s="238"/>
      <c r="AC91" s="238"/>
      <c r="AD91" s="537"/>
      <c r="AE91" s="537"/>
      <c r="AL91" s="1791"/>
    </row>
    <row r="92" spans="1:38">
      <c r="D92" s="1762" t="s">
        <v>568</v>
      </c>
      <c r="E92" s="1452">
        <f>SUM(E30:E34)+(E59-E65-E66)*E77</f>
        <v>623.67535410764867</v>
      </c>
      <c r="F92" s="1451">
        <f t="shared" ref="F92:K92" si="123">SUM(F30:F34)+(F59-F65-F66)*F77</f>
        <v>1488.7037037037037</v>
      </c>
      <c r="G92" s="1449">
        <f t="shared" si="123"/>
        <v>272.70452039691293</v>
      </c>
      <c r="H92" s="1450">
        <f t="shared" si="123"/>
        <v>342.86103151862466</v>
      </c>
      <c r="I92" s="1450">
        <f t="shared" si="123"/>
        <v>376.51279426816791</v>
      </c>
      <c r="J92" s="1450">
        <f t="shared" si="123"/>
        <v>329.16648168701443</v>
      </c>
      <c r="K92" s="1451">
        <f t="shared" si="123"/>
        <v>348.33962264150944</v>
      </c>
      <c r="L92" s="804">
        <f t="shared" si="52"/>
        <v>1669.5844505122291</v>
      </c>
      <c r="M92" s="1512">
        <f>SUM(M30:M34)+(M59-M65-M66)*M77</f>
        <v>623.67535410764867</v>
      </c>
      <c r="N92" s="1451">
        <f t="shared" ref="N92:S92" si="124">SUM(N30:N34)+(N59-N65-N66)*N77</f>
        <v>1488.7037037037037</v>
      </c>
      <c r="O92" s="1449">
        <f t="shared" si="124"/>
        <v>272.70452039691293</v>
      </c>
      <c r="P92" s="1450">
        <f t="shared" si="124"/>
        <v>342.86103151862466</v>
      </c>
      <c r="Q92" s="1450">
        <f t="shared" si="124"/>
        <v>376.51279426816791</v>
      </c>
      <c r="R92" s="1450">
        <f t="shared" si="124"/>
        <v>329.16648168701443</v>
      </c>
      <c r="S92" s="1453">
        <f t="shared" si="124"/>
        <v>348.33962264150944</v>
      </c>
      <c r="T92" s="1452">
        <f>SUM(T30:T34)+(T59-T65-T66)*T77</f>
        <v>0</v>
      </c>
      <c r="U92" s="1451">
        <f t="shared" ref="U92:Z92" si="125">SUM(U30:U34)+(U59-U65-U66)*U77</f>
        <v>0</v>
      </c>
      <c r="V92" s="1449">
        <f t="shared" si="125"/>
        <v>0</v>
      </c>
      <c r="W92" s="1450">
        <f t="shared" si="125"/>
        <v>0</v>
      </c>
      <c r="X92" s="1450">
        <f t="shared" si="125"/>
        <v>0</v>
      </c>
      <c r="Y92" s="1450">
        <f t="shared" si="125"/>
        <v>0</v>
      </c>
      <c r="Z92" s="1451">
        <f t="shared" si="125"/>
        <v>0</v>
      </c>
      <c r="AA92" s="915">
        <f t="shared" si="82"/>
        <v>0</v>
      </c>
      <c r="AB92" s="238"/>
      <c r="AC92" s="238"/>
      <c r="AD92" s="537"/>
      <c r="AE92" s="537"/>
      <c r="AL92" s="1791"/>
    </row>
    <row r="93" spans="1:38">
      <c r="D93" s="1762" t="s">
        <v>869</v>
      </c>
      <c r="E93" s="1452">
        <f>SUM(E42:E46)+(E59-E65-E66)*E78</f>
        <v>0.88838526912181293</v>
      </c>
      <c r="F93" s="1451">
        <f t="shared" ref="F93:K93" si="126">SUM(F42:F46)+(F59-F65-F66)*F78</f>
        <v>7.3093681917211333</v>
      </c>
      <c r="G93" s="1449">
        <f t="shared" si="126"/>
        <v>1821.0915104740905</v>
      </c>
      <c r="H93" s="1450">
        <f t="shared" si="126"/>
        <v>6.3968481375358168</v>
      </c>
      <c r="I93" s="1450">
        <f t="shared" si="126"/>
        <v>16.949846468781985</v>
      </c>
      <c r="J93" s="1450">
        <f t="shared" si="126"/>
        <v>16.248612652608216</v>
      </c>
      <c r="K93" s="1451">
        <f t="shared" si="126"/>
        <v>12.67688679245283</v>
      </c>
      <c r="L93" s="804">
        <f t="shared" si="52"/>
        <v>1873.3637045254695</v>
      </c>
      <c r="M93" s="1512">
        <f>SUM(M42:M46)+(M59-M65-M66)*M78</f>
        <v>0.88838526912181293</v>
      </c>
      <c r="N93" s="1451">
        <f t="shared" ref="N93:S93" si="127">SUM(N42:N46)+(N59-N65-N66)*N78</f>
        <v>7.3093681917211333</v>
      </c>
      <c r="O93" s="1449">
        <f t="shared" si="127"/>
        <v>1821.0915104740905</v>
      </c>
      <c r="P93" s="1450">
        <f t="shared" si="127"/>
        <v>6.3968481375358168</v>
      </c>
      <c r="Q93" s="1450">
        <f t="shared" si="127"/>
        <v>16.949846468781985</v>
      </c>
      <c r="R93" s="1450">
        <f t="shared" si="127"/>
        <v>16.248612652608216</v>
      </c>
      <c r="S93" s="1453">
        <f t="shared" si="127"/>
        <v>12.67688679245283</v>
      </c>
      <c r="T93" s="1452">
        <f>SUM(T42:T46)+(T59-T65-T66)*T78</f>
        <v>0</v>
      </c>
      <c r="U93" s="1451">
        <f t="shared" ref="U93:Z93" si="128">SUM(U42:U46)+(U59-U65-U66)*U78</f>
        <v>0</v>
      </c>
      <c r="V93" s="1449">
        <f t="shared" si="128"/>
        <v>0</v>
      </c>
      <c r="W93" s="1450">
        <f t="shared" si="128"/>
        <v>0</v>
      </c>
      <c r="X93" s="1450">
        <f t="shared" si="128"/>
        <v>0</v>
      </c>
      <c r="Y93" s="1450">
        <f t="shared" si="128"/>
        <v>0</v>
      </c>
      <c r="Z93" s="1451">
        <f t="shared" si="128"/>
        <v>0</v>
      </c>
      <c r="AA93" s="915">
        <f t="shared" si="82"/>
        <v>0</v>
      </c>
      <c r="AB93" s="238"/>
      <c r="AC93" s="238"/>
      <c r="AD93" s="537"/>
      <c r="AE93" s="537"/>
      <c r="AL93" s="1791"/>
    </row>
    <row r="94" spans="1:38" ht="13.5" thickBot="1">
      <c r="D94" s="1763" t="s">
        <v>569</v>
      </c>
      <c r="E94" s="1457">
        <f>SUM(E51:E55)+(E59-E65-E66)*E79</f>
        <v>79.436260623229458</v>
      </c>
      <c r="F94" s="1456">
        <f t="shared" ref="F94:K94" si="129">SUM(F51:F55)+(F59-F65-F66)*F79</f>
        <v>33.986928104575163</v>
      </c>
      <c r="G94" s="1454">
        <f t="shared" si="129"/>
        <v>25.203969128996693</v>
      </c>
      <c r="H94" s="1455">
        <f t="shared" si="129"/>
        <v>484.74212034383953</v>
      </c>
      <c r="I94" s="1455">
        <f t="shared" si="129"/>
        <v>35.537359263050149</v>
      </c>
      <c r="J94" s="1455">
        <f t="shared" si="129"/>
        <v>33.584905660377359</v>
      </c>
      <c r="K94" s="1456">
        <f t="shared" si="129"/>
        <v>37.98349056603773</v>
      </c>
      <c r="L94" s="1484">
        <f t="shared" si="52"/>
        <v>617.0518449623014</v>
      </c>
      <c r="M94" s="1513">
        <f>SUM(M51:M55)+(M59-M65-M66)*M79</f>
        <v>79.436260623229458</v>
      </c>
      <c r="N94" s="1456">
        <f t="shared" ref="N94:S94" si="130">SUM(N51:N55)+(N59-N65-N66)*N79</f>
        <v>33.986928104575163</v>
      </c>
      <c r="O94" s="1454">
        <f t="shared" si="130"/>
        <v>25.203969128996693</v>
      </c>
      <c r="P94" s="1455">
        <f t="shared" si="130"/>
        <v>484.74212034383953</v>
      </c>
      <c r="Q94" s="1455">
        <f t="shared" si="130"/>
        <v>35.537359263050149</v>
      </c>
      <c r="R94" s="1455">
        <f t="shared" si="130"/>
        <v>33.584905660377359</v>
      </c>
      <c r="S94" s="1458">
        <f t="shared" si="130"/>
        <v>37.98349056603773</v>
      </c>
      <c r="T94" s="1457">
        <f>SUM(T51:T55)+(T59-T65-T66)*T79</f>
        <v>0</v>
      </c>
      <c r="U94" s="1456">
        <f t="shared" ref="U94:Z94" si="131">SUM(U51:U55)+(U59-U65-U66)*U79</f>
        <v>0</v>
      </c>
      <c r="V94" s="1454">
        <f t="shared" si="131"/>
        <v>0</v>
      </c>
      <c r="W94" s="1455">
        <f t="shared" si="131"/>
        <v>0</v>
      </c>
      <c r="X94" s="1455">
        <f t="shared" si="131"/>
        <v>0</v>
      </c>
      <c r="Y94" s="1455">
        <f t="shared" si="131"/>
        <v>0</v>
      </c>
      <c r="Z94" s="1456">
        <f t="shared" si="131"/>
        <v>0</v>
      </c>
      <c r="AA94" s="913">
        <f t="shared" si="82"/>
        <v>0</v>
      </c>
      <c r="AB94" s="238"/>
      <c r="AC94" s="238"/>
      <c r="AD94" s="537"/>
      <c r="AE94" s="537"/>
      <c r="AL94" s="1791"/>
    </row>
    <row r="95" spans="1:38">
      <c r="D95" s="1767" t="s">
        <v>1250</v>
      </c>
      <c r="E95" s="1443">
        <f>SUM(E96:E98)</f>
        <v>1453</v>
      </c>
      <c r="F95" s="908">
        <f t="shared" ref="F95" si="132">SUM(F96:F98)</f>
        <v>2110</v>
      </c>
      <c r="G95" s="1448">
        <f t="shared" ref="G95" si="133">SUM(G96:G98)</f>
        <v>841.99999999999989</v>
      </c>
      <c r="H95" s="907">
        <f t="shared" ref="H95" si="134">SUM(H96:H98)</f>
        <v>797</v>
      </c>
      <c r="I95" s="907">
        <f t="shared" ref="I95" si="135">SUM(I96:I98)</f>
        <v>778</v>
      </c>
      <c r="J95" s="907">
        <f t="shared" ref="J95" si="136">SUM(J96:J98)</f>
        <v>762</v>
      </c>
      <c r="K95" s="908">
        <f t="shared" ref="K95" si="137">SUM(K96:K98)</f>
        <v>699</v>
      </c>
      <c r="L95" s="1485">
        <f t="shared" si="52"/>
        <v>3878</v>
      </c>
      <c r="M95" s="1443">
        <f t="shared" ref="M95:Z95" si="138">SUM(M96:M98)</f>
        <v>1453</v>
      </c>
      <c r="N95" s="908">
        <f t="shared" si="138"/>
        <v>2110</v>
      </c>
      <c r="O95" s="1448">
        <f t="shared" si="138"/>
        <v>841.99999999999989</v>
      </c>
      <c r="P95" s="907">
        <f t="shared" si="138"/>
        <v>797</v>
      </c>
      <c r="Q95" s="907">
        <f t="shared" si="138"/>
        <v>778</v>
      </c>
      <c r="R95" s="907">
        <f t="shared" si="138"/>
        <v>762</v>
      </c>
      <c r="S95" s="909">
        <f t="shared" si="138"/>
        <v>699</v>
      </c>
      <c r="T95" s="1443">
        <f t="shared" si="138"/>
        <v>0</v>
      </c>
      <c r="U95" s="908">
        <f t="shared" si="138"/>
        <v>0</v>
      </c>
      <c r="V95" s="1448">
        <f t="shared" si="138"/>
        <v>0</v>
      </c>
      <c r="W95" s="907">
        <f t="shared" si="138"/>
        <v>0</v>
      </c>
      <c r="X95" s="907">
        <f t="shared" si="138"/>
        <v>0</v>
      </c>
      <c r="Y95" s="907">
        <f t="shared" si="138"/>
        <v>0</v>
      </c>
      <c r="Z95" s="908">
        <f t="shared" si="138"/>
        <v>0</v>
      </c>
      <c r="AA95" s="1234">
        <f t="shared" si="82"/>
        <v>0</v>
      </c>
      <c r="AB95" s="238"/>
      <c r="AC95" s="238"/>
      <c r="AD95" s="537"/>
      <c r="AE95" s="537"/>
      <c r="AL95" s="1791"/>
    </row>
    <row r="96" spans="1:38">
      <c r="D96" s="1762" t="s">
        <v>568</v>
      </c>
      <c r="E96" s="1452">
        <f>E87-E92</f>
        <v>1449</v>
      </c>
      <c r="F96" s="1451">
        <f t="shared" ref="F96:K96" si="139">F87-F92</f>
        <v>2055</v>
      </c>
      <c r="G96" s="1449">
        <f t="shared" si="139"/>
        <v>759.99999999999989</v>
      </c>
      <c r="H96" s="1450">
        <f t="shared" si="139"/>
        <v>725</v>
      </c>
      <c r="I96" s="1450">
        <f t="shared" si="139"/>
        <v>660</v>
      </c>
      <c r="J96" s="1450">
        <f t="shared" si="139"/>
        <v>670</v>
      </c>
      <c r="K96" s="1451">
        <f t="shared" si="139"/>
        <v>615</v>
      </c>
      <c r="L96" s="804">
        <f t="shared" si="52"/>
        <v>3430</v>
      </c>
      <c r="M96" s="1452">
        <f>M87-M92</f>
        <v>1449</v>
      </c>
      <c r="N96" s="1451">
        <f t="shared" ref="N96:Z96" si="140">N87-N92</f>
        <v>2055</v>
      </c>
      <c r="O96" s="1449">
        <f t="shared" si="140"/>
        <v>759.99999999999989</v>
      </c>
      <c r="P96" s="1450">
        <f t="shared" si="140"/>
        <v>725</v>
      </c>
      <c r="Q96" s="1450">
        <f t="shared" si="140"/>
        <v>660</v>
      </c>
      <c r="R96" s="1450">
        <f t="shared" si="140"/>
        <v>670</v>
      </c>
      <c r="S96" s="1453">
        <f t="shared" si="140"/>
        <v>615</v>
      </c>
      <c r="T96" s="1452">
        <f t="shared" si="140"/>
        <v>0</v>
      </c>
      <c r="U96" s="1451">
        <f t="shared" si="140"/>
        <v>0</v>
      </c>
      <c r="V96" s="1449">
        <f t="shared" si="140"/>
        <v>0</v>
      </c>
      <c r="W96" s="1450">
        <f t="shared" si="140"/>
        <v>0</v>
      </c>
      <c r="X96" s="1450">
        <f t="shared" si="140"/>
        <v>0</v>
      </c>
      <c r="Y96" s="1450">
        <f t="shared" si="140"/>
        <v>0</v>
      </c>
      <c r="Z96" s="1451">
        <f t="shared" si="140"/>
        <v>0</v>
      </c>
      <c r="AA96" s="915">
        <f t="shared" si="82"/>
        <v>0</v>
      </c>
      <c r="AB96" s="238"/>
      <c r="AC96" s="238"/>
      <c r="AD96" s="537"/>
      <c r="AE96" s="537"/>
      <c r="AL96" s="1791"/>
    </row>
    <row r="97" spans="1:38">
      <c r="D97" s="1762" t="s">
        <v>869</v>
      </c>
      <c r="E97" s="1452">
        <f t="shared" ref="E97:K98" si="141">E88-E93</f>
        <v>4</v>
      </c>
      <c r="F97" s="1451">
        <f t="shared" si="141"/>
        <v>55</v>
      </c>
      <c r="G97" s="1449">
        <f t="shared" si="141"/>
        <v>43</v>
      </c>
      <c r="H97" s="1450">
        <f>H88-H93</f>
        <v>38</v>
      </c>
      <c r="I97" s="1450">
        <f t="shared" si="141"/>
        <v>72</v>
      </c>
      <c r="J97" s="1450">
        <f t="shared" si="141"/>
        <v>61</v>
      </c>
      <c r="K97" s="1451">
        <f t="shared" si="141"/>
        <v>43</v>
      </c>
      <c r="L97" s="804">
        <f t="shared" si="52"/>
        <v>257</v>
      </c>
      <c r="M97" s="1452">
        <f t="shared" ref="M97:Z97" si="142">M88-M93</f>
        <v>4</v>
      </c>
      <c r="N97" s="1451">
        <f t="shared" si="142"/>
        <v>55</v>
      </c>
      <c r="O97" s="1449">
        <f t="shared" si="142"/>
        <v>43</v>
      </c>
      <c r="P97" s="1450">
        <f t="shared" si="142"/>
        <v>38</v>
      </c>
      <c r="Q97" s="1450">
        <f t="shared" si="142"/>
        <v>72</v>
      </c>
      <c r="R97" s="1450">
        <f t="shared" si="142"/>
        <v>61</v>
      </c>
      <c r="S97" s="1453">
        <f t="shared" si="142"/>
        <v>43</v>
      </c>
      <c r="T97" s="1452">
        <f t="shared" si="142"/>
        <v>0</v>
      </c>
      <c r="U97" s="1451">
        <f t="shared" si="142"/>
        <v>0</v>
      </c>
      <c r="V97" s="1449">
        <f t="shared" si="142"/>
        <v>0</v>
      </c>
      <c r="W97" s="1450">
        <f t="shared" si="142"/>
        <v>0</v>
      </c>
      <c r="X97" s="1450">
        <f t="shared" si="142"/>
        <v>0</v>
      </c>
      <c r="Y97" s="1450">
        <f t="shared" si="142"/>
        <v>0</v>
      </c>
      <c r="Z97" s="1451">
        <f t="shared" si="142"/>
        <v>0</v>
      </c>
      <c r="AA97" s="915">
        <f t="shared" si="82"/>
        <v>0</v>
      </c>
      <c r="AB97" s="238"/>
      <c r="AC97" s="238"/>
      <c r="AD97" s="537"/>
      <c r="AE97" s="537"/>
      <c r="AL97" s="1791"/>
    </row>
    <row r="98" spans="1:38" ht="13.5" thickBot="1">
      <c r="D98" s="1765" t="s">
        <v>569</v>
      </c>
      <c r="E98" s="1462">
        <f t="shared" si="141"/>
        <v>0</v>
      </c>
      <c r="F98" s="1461">
        <f t="shared" si="141"/>
        <v>0</v>
      </c>
      <c r="G98" s="1459">
        <f t="shared" si="141"/>
        <v>39</v>
      </c>
      <c r="H98" s="1460">
        <f t="shared" si="141"/>
        <v>34.000000000000057</v>
      </c>
      <c r="I98" s="1460">
        <f t="shared" si="141"/>
        <v>46</v>
      </c>
      <c r="J98" s="1460">
        <f t="shared" si="141"/>
        <v>31</v>
      </c>
      <c r="K98" s="1461">
        <f t="shared" si="141"/>
        <v>41</v>
      </c>
      <c r="L98" s="1486">
        <f t="shared" si="52"/>
        <v>191.00000000000006</v>
      </c>
      <c r="M98" s="1462">
        <f t="shared" ref="M98:Z98" si="143">M89-M94</f>
        <v>0</v>
      </c>
      <c r="N98" s="1461">
        <f t="shared" si="143"/>
        <v>0</v>
      </c>
      <c r="O98" s="1459">
        <f t="shared" si="143"/>
        <v>39</v>
      </c>
      <c r="P98" s="1460">
        <f t="shared" si="143"/>
        <v>34.000000000000057</v>
      </c>
      <c r="Q98" s="1460">
        <f t="shared" si="143"/>
        <v>46</v>
      </c>
      <c r="R98" s="1460">
        <f t="shared" si="143"/>
        <v>31</v>
      </c>
      <c r="S98" s="1463">
        <f t="shared" si="143"/>
        <v>41</v>
      </c>
      <c r="T98" s="1462">
        <f t="shared" si="143"/>
        <v>0</v>
      </c>
      <c r="U98" s="1461">
        <f t="shared" si="143"/>
        <v>0</v>
      </c>
      <c r="V98" s="1459">
        <f t="shared" si="143"/>
        <v>0</v>
      </c>
      <c r="W98" s="1460">
        <f t="shared" si="143"/>
        <v>0</v>
      </c>
      <c r="X98" s="1460">
        <f t="shared" si="143"/>
        <v>0</v>
      </c>
      <c r="Y98" s="1460">
        <f t="shared" si="143"/>
        <v>0</v>
      </c>
      <c r="Z98" s="1461">
        <f t="shared" si="143"/>
        <v>0</v>
      </c>
      <c r="AA98" s="913">
        <f t="shared" si="82"/>
        <v>0</v>
      </c>
      <c r="AB98" s="238"/>
      <c r="AC98" s="238"/>
      <c r="AD98" s="537"/>
      <c r="AE98" s="537"/>
      <c r="AL98" s="1791"/>
    </row>
    <row r="99" spans="1:38">
      <c r="F99" s="845"/>
      <c r="G99" s="515"/>
      <c r="H99" s="515"/>
      <c r="I99" s="515"/>
      <c r="J99" s="515"/>
      <c r="K99" s="515"/>
      <c r="L99" s="481"/>
      <c r="M99" s="853"/>
      <c r="N99" s="853"/>
      <c r="O99" s="481"/>
      <c r="P99" s="481"/>
      <c r="Q99" s="481"/>
      <c r="R99" s="481"/>
      <c r="S99" s="481"/>
      <c r="T99" s="853"/>
      <c r="U99" s="853"/>
      <c r="V99" s="481"/>
      <c r="W99" s="481"/>
      <c r="X99" s="481"/>
      <c r="Y99" s="481"/>
      <c r="Z99" s="481"/>
      <c r="AA99" s="481"/>
      <c r="AB99" s="238"/>
      <c r="AC99" s="2016" t="str">
        <f>'8. Ремонтна програма'!B52</f>
        <v>Главен счетоводител:</v>
      </c>
      <c r="AD99" s="537"/>
      <c r="AE99" s="481" t="str">
        <f>'8. Ремонтна програма'!C52</f>
        <v>..............................................</v>
      </c>
      <c r="AL99" s="1791"/>
    </row>
    <row r="100" spans="1:38">
      <c r="L100" s="481"/>
      <c r="M100" s="853" t="s">
        <v>263</v>
      </c>
      <c r="N100" s="853"/>
      <c r="O100" s="481"/>
      <c r="P100" s="481"/>
      <c r="Q100" s="481"/>
      <c r="R100" s="481"/>
      <c r="S100" s="481"/>
      <c r="T100" s="853"/>
      <c r="U100" s="853"/>
      <c r="V100" s="481"/>
      <c r="W100" s="481"/>
      <c r="X100" s="481"/>
      <c r="Y100" s="481"/>
      <c r="Z100" s="481"/>
      <c r="AA100" s="481"/>
      <c r="AB100" s="238"/>
      <c r="AC100" s="238"/>
      <c r="AD100" s="537"/>
      <c r="AE100" s="2017" t="str">
        <f>'8. Ремонтна програма'!C53</f>
        <v>(подпис)</v>
      </c>
      <c r="AL100" s="1791"/>
    </row>
    <row r="101" spans="1:38" s="159" customFormat="1">
      <c r="A101" s="1757"/>
      <c r="B101" s="163" t="str">
        <f>'8. Ремонтна програма'!A51</f>
        <v>Дата: 27.06.2016г.</v>
      </c>
      <c r="C101" s="162"/>
      <c r="D101" s="776"/>
      <c r="E101" s="846"/>
      <c r="F101" s="846"/>
      <c r="L101" s="532"/>
      <c r="M101" s="854"/>
      <c r="N101" s="854"/>
      <c r="O101" s="483"/>
      <c r="P101" s="483"/>
      <c r="Q101" s="483"/>
      <c r="R101" s="483"/>
      <c r="S101" s="483"/>
      <c r="T101" s="854"/>
      <c r="U101" s="854"/>
      <c r="V101" s="483"/>
      <c r="W101" s="483"/>
      <c r="X101" s="483"/>
      <c r="Y101" s="483"/>
      <c r="Z101" s="483"/>
      <c r="AA101" s="483"/>
      <c r="AD101" s="483"/>
      <c r="AE101" s="483"/>
      <c r="AF101" s="483"/>
      <c r="AG101" s="483"/>
      <c r="AH101" s="483"/>
      <c r="AI101" s="483"/>
      <c r="AJ101" s="483"/>
      <c r="AL101" s="1791"/>
    </row>
    <row r="102" spans="1:38" s="159" customFormat="1">
      <c r="A102" s="1757"/>
      <c r="B102" s="164"/>
      <c r="D102" s="1768"/>
      <c r="E102" s="847"/>
      <c r="F102" s="847"/>
      <c r="I102" s="165"/>
      <c r="J102" s="164"/>
      <c r="L102" s="532"/>
      <c r="M102" s="854"/>
      <c r="N102" s="854"/>
      <c r="O102" s="483"/>
      <c r="P102" s="483"/>
      <c r="Q102" s="483"/>
      <c r="R102" s="483"/>
      <c r="S102" s="483"/>
      <c r="T102" s="854"/>
      <c r="U102" s="854"/>
      <c r="V102" s="483"/>
      <c r="W102" s="483"/>
      <c r="X102" s="483"/>
      <c r="Y102" s="483"/>
      <c r="Z102" s="483"/>
      <c r="AA102" s="483"/>
      <c r="AD102" s="483"/>
      <c r="AE102" s="483"/>
      <c r="AF102" s="483"/>
      <c r="AG102" s="483"/>
      <c r="AH102" s="483"/>
      <c r="AI102" s="483"/>
      <c r="AJ102" s="483"/>
      <c r="AL102" s="1791"/>
    </row>
    <row r="103" spans="1:38" s="159" customFormat="1">
      <c r="A103" s="1757"/>
      <c r="B103" s="162"/>
      <c r="D103" s="1768"/>
      <c r="E103" s="847"/>
      <c r="F103" s="847"/>
      <c r="I103" s="166"/>
      <c r="J103" s="168"/>
      <c r="L103" s="532"/>
      <c r="M103" s="854"/>
      <c r="N103" s="854"/>
      <c r="O103" s="483"/>
      <c r="P103" s="483"/>
      <c r="Q103" s="483"/>
      <c r="R103" s="483"/>
      <c r="S103" s="483"/>
      <c r="T103" s="854"/>
      <c r="U103" s="854"/>
      <c r="V103" s="483"/>
      <c r="W103" s="483"/>
      <c r="X103" s="483"/>
      <c r="Y103" s="483"/>
      <c r="Z103" s="483"/>
      <c r="AA103" s="483"/>
      <c r="AD103" s="483"/>
      <c r="AE103" s="483"/>
      <c r="AF103" s="483"/>
      <c r="AG103" s="483"/>
      <c r="AH103" s="483"/>
      <c r="AI103" s="483"/>
      <c r="AJ103" s="483"/>
      <c r="AL103" s="1791"/>
    </row>
    <row r="104" spans="1:38" s="159" customFormat="1">
      <c r="A104" s="1757"/>
      <c r="B104" s="162"/>
      <c r="D104" s="1768"/>
      <c r="E104" s="847"/>
      <c r="F104" s="847"/>
      <c r="I104" s="166"/>
      <c r="J104" s="167"/>
      <c r="L104" s="532"/>
      <c r="M104" s="854"/>
      <c r="N104" s="854"/>
      <c r="O104" s="483"/>
      <c r="P104" s="483"/>
      <c r="Q104" s="483"/>
      <c r="R104" s="483"/>
      <c r="S104" s="483"/>
      <c r="T104" s="854"/>
      <c r="U104" s="854"/>
      <c r="V104" s="483"/>
      <c r="W104" s="483"/>
      <c r="X104" s="483"/>
      <c r="Y104" s="483"/>
      <c r="Z104" s="483"/>
      <c r="AA104" s="483"/>
      <c r="AD104" s="483"/>
      <c r="AE104" s="483"/>
      <c r="AF104" s="483"/>
      <c r="AG104" s="483"/>
      <c r="AH104" s="483"/>
      <c r="AI104" s="483"/>
      <c r="AJ104" s="483"/>
      <c r="AL104" s="1791"/>
    </row>
    <row r="105" spans="1:38" s="159" customFormat="1">
      <c r="A105" s="1757"/>
      <c r="B105" s="162"/>
      <c r="C105" s="162"/>
      <c r="D105" s="776"/>
      <c r="E105" s="847"/>
      <c r="F105" s="847"/>
      <c r="I105" s="166"/>
      <c r="J105" s="167"/>
      <c r="L105" s="532"/>
      <c r="M105" s="854"/>
      <c r="N105" s="854"/>
      <c r="O105" s="483"/>
      <c r="P105" s="483"/>
      <c r="Q105" s="483"/>
      <c r="R105" s="483"/>
      <c r="S105" s="483"/>
      <c r="T105" s="854"/>
      <c r="U105" s="854"/>
      <c r="V105" s="483"/>
      <c r="W105" s="483"/>
      <c r="X105" s="483"/>
      <c r="Y105" s="483"/>
      <c r="Z105" s="483"/>
      <c r="AA105" s="483"/>
      <c r="AC105" s="2019" t="str">
        <f>'8. Ремонтна програма'!B56</f>
        <v>Управител:</v>
      </c>
      <c r="AD105" s="483"/>
      <c r="AE105" s="483" t="str">
        <f>'8. Ремонтна програма'!C56</f>
        <v>..............................................</v>
      </c>
      <c r="AF105" s="483"/>
      <c r="AG105" s="483"/>
      <c r="AH105" s="483"/>
      <c r="AI105" s="483"/>
      <c r="AJ105" s="483"/>
      <c r="AL105" s="1794"/>
    </row>
    <row r="106" spans="1:38" s="159" customFormat="1">
      <c r="A106" s="3425" t="s">
        <v>247</v>
      </c>
      <c r="B106" s="3425"/>
      <c r="C106" s="3425"/>
      <c r="D106" s="3425"/>
      <c r="E106" s="847"/>
      <c r="F106" s="847"/>
      <c r="I106" s="165"/>
      <c r="J106" s="164"/>
      <c r="L106" s="532"/>
      <c r="M106" s="854"/>
      <c r="N106" s="854"/>
      <c r="O106" s="483"/>
      <c r="P106" s="483"/>
      <c r="Q106" s="483"/>
      <c r="R106" s="483"/>
      <c r="S106" s="483"/>
      <c r="T106" s="854"/>
      <c r="U106" s="854"/>
      <c r="V106" s="483"/>
      <c r="W106" s="483"/>
      <c r="X106" s="483"/>
      <c r="Y106" s="483"/>
      <c r="Z106" s="483"/>
      <c r="AA106" s="483"/>
      <c r="AD106" s="483"/>
      <c r="AE106" s="2018" t="str">
        <f>'8. Ремонтна програма'!C57</f>
        <v>(подпис и печат)</v>
      </c>
      <c r="AF106" s="483"/>
      <c r="AG106" s="483"/>
      <c r="AH106" s="483"/>
      <c r="AI106" s="483"/>
      <c r="AJ106" s="483"/>
      <c r="AL106" s="1795"/>
    </row>
    <row r="107" spans="1:38" s="159" customFormat="1">
      <c r="A107" s="3436" t="s">
        <v>248</v>
      </c>
      <c r="B107" s="3436"/>
      <c r="C107" s="3436"/>
      <c r="D107" s="3436"/>
      <c r="E107" s="847"/>
      <c r="F107" s="847"/>
      <c r="I107" s="169"/>
      <c r="J107" s="168"/>
      <c r="L107" s="532"/>
      <c r="M107" s="854"/>
      <c r="N107" s="854"/>
      <c r="O107" s="483"/>
      <c r="P107" s="483"/>
      <c r="Q107" s="483"/>
      <c r="R107" s="483"/>
      <c r="S107" s="483"/>
      <c r="T107" s="854"/>
      <c r="U107" s="854"/>
      <c r="V107" s="483"/>
      <c r="W107" s="483"/>
      <c r="X107" s="483"/>
      <c r="Y107" s="483"/>
      <c r="Z107" s="483"/>
      <c r="AA107" s="483"/>
      <c r="AD107" s="483"/>
      <c r="AE107" s="483"/>
      <c r="AF107" s="483"/>
      <c r="AG107" s="483"/>
      <c r="AH107" s="483"/>
      <c r="AI107" s="483"/>
      <c r="AJ107" s="483"/>
      <c r="AL107" s="1796"/>
    </row>
    <row r="108" spans="1:38" s="159" customFormat="1" ht="39.75" customHeight="1">
      <c r="A108" s="3347" t="s">
        <v>1554</v>
      </c>
      <c r="B108" s="3347"/>
      <c r="C108" s="3347"/>
      <c r="D108" s="3347"/>
      <c r="E108" s="3347"/>
      <c r="F108" s="3347"/>
      <c r="G108" s="3347"/>
      <c r="H108" s="3347"/>
      <c r="I108" s="3347"/>
      <c r="J108" s="3347"/>
      <c r="K108" s="3347"/>
      <c r="L108" s="3347"/>
      <c r="M108" s="3347"/>
      <c r="N108" s="3347"/>
      <c r="O108" s="3347"/>
      <c r="P108" s="3347"/>
      <c r="Q108" s="3347"/>
      <c r="R108" s="483"/>
      <c r="S108" s="483"/>
      <c r="T108" s="854"/>
      <c r="U108" s="854"/>
      <c r="V108" s="483"/>
      <c r="W108" s="483"/>
      <c r="X108" s="483"/>
      <c r="Y108" s="483"/>
      <c r="Z108" s="483"/>
      <c r="AA108" s="483"/>
      <c r="AD108" s="483"/>
      <c r="AE108" s="483"/>
      <c r="AF108" s="483"/>
      <c r="AG108" s="483"/>
      <c r="AH108" s="483"/>
      <c r="AI108" s="483"/>
      <c r="AJ108" s="483"/>
      <c r="AL108" s="1797"/>
    </row>
    <row r="109" spans="1:38" s="221" customFormat="1">
      <c r="A109" s="178"/>
      <c r="B109" s="178"/>
      <c r="C109" s="172"/>
      <c r="D109" s="181"/>
      <c r="E109" s="231"/>
      <c r="F109" s="231"/>
      <c r="L109" s="533"/>
      <c r="M109" s="855"/>
      <c r="N109" s="855"/>
      <c r="O109" s="484"/>
      <c r="P109" s="484"/>
      <c r="Q109" s="484"/>
      <c r="R109" s="484"/>
      <c r="S109" s="484"/>
      <c r="T109" s="855"/>
      <c r="U109" s="855"/>
      <c r="V109" s="484"/>
      <c r="W109" s="484"/>
      <c r="X109" s="484"/>
      <c r="Y109" s="484"/>
      <c r="Z109" s="484"/>
      <c r="AA109" s="484"/>
      <c r="AD109" s="484"/>
      <c r="AE109" s="484"/>
      <c r="AF109" s="484"/>
      <c r="AG109" s="484"/>
      <c r="AH109" s="484"/>
      <c r="AI109" s="484"/>
      <c r="AJ109" s="484"/>
      <c r="AL109" s="1798"/>
    </row>
    <row r="110" spans="1:38" s="236" customFormat="1">
      <c r="A110" s="178"/>
      <c r="B110" s="178"/>
      <c r="C110" s="172"/>
      <c r="D110" s="181"/>
      <c r="E110" s="231"/>
      <c r="F110" s="231"/>
      <c r="G110" s="235"/>
      <c r="H110" s="235"/>
      <c r="J110" s="237"/>
      <c r="L110" s="534"/>
      <c r="M110" s="856"/>
      <c r="N110" s="856"/>
      <c r="O110" s="485"/>
      <c r="P110" s="485"/>
      <c r="Q110" s="485"/>
      <c r="R110" s="485"/>
      <c r="S110" s="485"/>
      <c r="T110" s="856"/>
      <c r="U110" s="856"/>
      <c r="V110" s="485"/>
      <c r="W110" s="485"/>
      <c r="X110" s="485"/>
      <c r="Y110" s="485"/>
      <c r="Z110" s="485"/>
      <c r="AA110" s="485"/>
      <c r="AD110" s="485"/>
      <c r="AE110" s="485"/>
      <c r="AF110" s="485"/>
      <c r="AG110" s="485"/>
      <c r="AH110" s="485"/>
      <c r="AI110" s="485"/>
      <c r="AJ110" s="485"/>
      <c r="AL110" s="1798"/>
    </row>
  </sheetData>
  <sheetProtection password="C6DB" sheet="1" objects="1" scenarios="1" formatCells="0" formatColumns="0" formatRows="0"/>
  <autoFilter ref="B1:B107"/>
  <mergeCells count="22">
    <mergeCell ref="A108:Q108"/>
    <mergeCell ref="A2:AA2"/>
    <mergeCell ref="AL8:AL9"/>
    <mergeCell ref="A8:A9"/>
    <mergeCell ref="B8:B9"/>
    <mergeCell ref="C8:C9"/>
    <mergeCell ref="D8:D9"/>
    <mergeCell ref="AD8:AK8"/>
    <mergeCell ref="AB6:AC6"/>
    <mergeCell ref="E8:K8"/>
    <mergeCell ref="L8:L9"/>
    <mergeCell ref="M8:S8"/>
    <mergeCell ref="T8:Z8"/>
    <mergeCell ref="A7:AC7"/>
    <mergeCell ref="AA8:AA9"/>
    <mergeCell ref="AB8:AB9"/>
    <mergeCell ref="A107:D107"/>
    <mergeCell ref="AC8:AC9"/>
    <mergeCell ref="A3:AA3"/>
    <mergeCell ref="A4:AA4"/>
    <mergeCell ref="A5:AA5"/>
    <mergeCell ref="A106:D106"/>
  </mergeCells>
  <printOptions horizontalCentered="1"/>
  <pageMargins left="0.31496062992125984" right="0.31496062992125984" top="1.1417322834645669" bottom="0.15748031496062992" header="0.31496062992125984" footer="0.31496062992125984"/>
  <pageSetup paperSize="9" scale="50" orientation="landscape" r:id="rId1"/>
  <headerFooter>
    <oddFooter>&amp;A&amp;RPage &amp;P</oddFooter>
  </headerFooter>
  <rowBreaks count="2" manualBreakCount="2">
    <brk id="34" max="37" man="1"/>
    <brk id="65" max="37" man="1"/>
  </rowBreaks>
  <colBreaks count="2" manualBreakCount="2">
    <brk id="27" max="107" man="1"/>
    <brk id="38" max="109" man="1"/>
  </colBreaks>
  <ignoredErrors>
    <ignoredError sqref="N86:N89 P89 R89"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CFFCC"/>
  </sheetPr>
  <dimension ref="A1:W88"/>
  <sheetViews>
    <sheetView showGridLines="0" view="pageBreakPreview" zoomScaleNormal="100" zoomScaleSheetLayoutView="100" workbookViewId="0">
      <pane xSplit="2" ySplit="7" topLeftCell="E8" activePane="bottomRight" state="frozen"/>
      <selection pane="topRight" activeCell="C1" sqref="C1"/>
      <selection pane="bottomLeft" activeCell="A8" sqref="A8"/>
      <selection pane="bottomRight" activeCell="S28" sqref="S28"/>
    </sheetView>
  </sheetViews>
  <sheetFormatPr defaultColWidth="11.85546875" defaultRowHeight="12.75"/>
  <cols>
    <col min="1" max="1" width="6.42578125" style="1247" bestFit="1" customWidth="1"/>
    <col min="2" max="2" width="40" style="33" customWidth="1"/>
    <col min="3" max="23" width="7.85546875" style="33" customWidth="1"/>
    <col min="24" max="257" width="11.85546875" style="33"/>
    <col min="258" max="258" width="35.85546875" style="33" customWidth="1"/>
    <col min="259" max="265" width="10.7109375" style="33" customWidth="1"/>
    <col min="266" max="513" width="11.85546875" style="33"/>
    <col min="514" max="514" width="35.85546875" style="33" customWidth="1"/>
    <col min="515" max="521" width="10.7109375" style="33" customWidth="1"/>
    <col min="522" max="769" width="11.85546875" style="33"/>
    <col min="770" max="770" width="35.85546875" style="33" customWidth="1"/>
    <col min="771" max="777" width="10.7109375" style="33" customWidth="1"/>
    <col min="778" max="1025" width="11.85546875" style="33"/>
    <col min="1026" max="1026" width="35.85546875" style="33" customWidth="1"/>
    <col min="1027" max="1033" width="10.7109375" style="33" customWidth="1"/>
    <col min="1034" max="1281" width="11.85546875" style="33"/>
    <col min="1282" max="1282" width="35.85546875" style="33" customWidth="1"/>
    <col min="1283" max="1289" width="10.7109375" style="33" customWidth="1"/>
    <col min="1290" max="1537" width="11.85546875" style="33"/>
    <col min="1538" max="1538" width="35.85546875" style="33" customWidth="1"/>
    <col min="1539" max="1545" width="10.7109375" style="33" customWidth="1"/>
    <col min="1546" max="1793" width="11.85546875" style="33"/>
    <col min="1794" max="1794" width="35.85546875" style="33" customWidth="1"/>
    <col min="1795" max="1801" width="10.7109375" style="33" customWidth="1"/>
    <col min="1802" max="2049" width="11.85546875" style="33"/>
    <col min="2050" max="2050" width="35.85546875" style="33" customWidth="1"/>
    <col min="2051" max="2057" width="10.7109375" style="33" customWidth="1"/>
    <col min="2058" max="2305" width="11.85546875" style="33"/>
    <col min="2306" max="2306" width="35.85546875" style="33" customWidth="1"/>
    <col min="2307" max="2313" width="10.7109375" style="33" customWidth="1"/>
    <col min="2314" max="2561" width="11.85546875" style="33"/>
    <col min="2562" max="2562" width="35.85546875" style="33" customWidth="1"/>
    <col min="2563" max="2569" width="10.7109375" style="33" customWidth="1"/>
    <col min="2570" max="2817" width="11.85546875" style="33"/>
    <col min="2818" max="2818" width="35.85546875" style="33" customWidth="1"/>
    <col min="2819" max="2825" width="10.7109375" style="33" customWidth="1"/>
    <col min="2826" max="3073" width="11.85546875" style="33"/>
    <col min="3074" max="3074" width="35.85546875" style="33" customWidth="1"/>
    <col min="3075" max="3081" width="10.7109375" style="33" customWidth="1"/>
    <col min="3082" max="3329" width="11.85546875" style="33"/>
    <col min="3330" max="3330" width="35.85546875" style="33" customWidth="1"/>
    <col min="3331" max="3337" width="10.7109375" style="33" customWidth="1"/>
    <col min="3338" max="3585" width="11.85546875" style="33"/>
    <col min="3586" max="3586" width="35.85546875" style="33" customWidth="1"/>
    <col min="3587" max="3593" width="10.7109375" style="33" customWidth="1"/>
    <col min="3594" max="3841" width="11.85546875" style="33"/>
    <col min="3842" max="3842" width="35.85546875" style="33" customWidth="1"/>
    <col min="3843" max="3849" width="10.7109375" style="33" customWidth="1"/>
    <col min="3850" max="4097" width="11.85546875" style="33"/>
    <col min="4098" max="4098" width="35.85546875" style="33" customWidth="1"/>
    <col min="4099" max="4105" width="10.7109375" style="33" customWidth="1"/>
    <col min="4106" max="4353" width="11.85546875" style="33"/>
    <col min="4354" max="4354" width="35.85546875" style="33" customWidth="1"/>
    <col min="4355" max="4361" width="10.7109375" style="33" customWidth="1"/>
    <col min="4362" max="4609" width="11.85546875" style="33"/>
    <col min="4610" max="4610" width="35.85546875" style="33" customWidth="1"/>
    <col min="4611" max="4617" width="10.7109375" style="33" customWidth="1"/>
    <col min="4618" max="4865" width="11.85546875" style="33"/>
    <col min="4866" max="4866" width="35.85546875" style="33" customWidth="1"/>
    <col min="4867" max="4873" width="10.7109375" style="33" customWidth="1"/>
    <col min="4874" max="5121" width="11.85546875" style="33"/>
    <col min="5122" max="5122" width="35.85546875" style="33" customWidth="1"/>
    <col min="5123" max="5129" width="10.7109375" style="33" customWidth="1"/>
    <col min="5130" max="5377" width="11.85546875" style="33"/>
    <col min="5378" max="5378" width="35.85546875" style="33" customWidth="1"/>
    <col min="5379" max="5385" width="10.7109375" style="33" customWidth="1"/>
    <col min="5386" max="5633" width="11.85546875" style="33"/>
    <col min="5634" max="5634" width="35.85546875" style="33" customWidth="1"/>
    <col min="5635" max="5641" width="10.7109375" style="33" customWidth="1"/>
    <col min="5642" max="5889" width="11.85546875" style="33"/>
    <col min="5890" max="5890" width="35.85546875" style="33" customWidth="1"/>
    <col min="5891" max="5897" width="10.7109375" style="33" customWidth="1"/>
    <col min="5898" max="6145" width="11.85546875" style="33"/>
    <col min="6146" max="6146" width="35.85546875" style="33" customWidth="1"/>
    <col min="6147" max="6153" width="10.7109375" style="33" customWidth="1"/>
    <col min="6154" max="6401" width="11.85546875" style="33"/>
    <col min="6402" max="6402" width="35.85546875" style="33" customWidth="1"/>
    <col min="6403" max="6409" width="10.7109375" style="33" customWidth="1"/>
    <col min="6410" max="6657" width="11.85546875" style="33"/>
    <col min="6658" max="6658" width="35.85546875" style="33" customWidth="1"/>
    <col min="6659" max="6665" width="10.7109375" style="33" customWidth="1"/>
    <col min="6666" max="6913" width="11.85546875" style="33"/>
    <col min="6914" max="6914" width="35.85546875" style="33" customWidth="1"/>
    <col min="6915" max="6921" width="10.7109375" style="33" customWidth="1"/>
    <col min="6922" max="7169" width="11.85546875" style="33"/>
    <col min="7170" max="7170" width="35.85546875" style="33" customWidth="1"/>
    <col min="7171" max="7177" width="10.7109375" style="33" customWidth="1"/>
    <col min="7178" max="7425" width="11.85546875" style="33"/>
    <col min="7426" max="7426" width="35.85546875" style="33" customWidth="1"/>
    <col min="7427" max="7433" width="10.7109375" style="33" customWidth="1"/>
    <col min="7434" max="7681" width="11.85546875" style="33"/>
    <col min="7682" max="7682" width="35.85546875" style="33" customWidth="1"/>
    <col min="7683" max="7689" width="10.7109375" style="33" customWidth="1"/>
    <col min="7690" max="7937" width="11.85546875" style="33"/>
    <col min="7938" max="7938" width="35.85546875" style="33" customWidth="1"/>
    <col min="7939" max="7945" width="10.7109375" style="33" customWidth="1"/>
    <col min="7946" max="8193" width="11.85546875" style="33"/>
    <col min="8194" max="8194" width="35.85546875" style="33" customWidth="1"/>
    <col min="8195" max="8201" width="10.7109375" style="33" customWidth="1"/>
    <col min="8202" max="8449" width="11.85546875" style="33"/>
    <col min="8450" max="8450" width="35.85546875" style="33" customWidth="1"/>
    <col min="8451" max="8457" width="10.7109375" style="33" customWidth="1"/>
    <col min="8458" max="8705" width="11.85546875" style="33"/>
    <col min="8706" max="8706" width="35.85546875" style="33" customWidth="1"/>
    <col min="8707" max="8713" width="10.7109375" style="33" customWidth="1"/>
    <col min="8714" max="8961" width="11.85546875" style="33"/>
    <col min="8962" max="8962" width="35.85546875" style="33" customWidth="1"/>
    <col min="8963" max="8969" width="10.7109375" style="33" customWidth="1"/>
    <col min="8970" max="9217" width="11.85546875" style="33"/>
    <col min="9218" max="9218" width="35.85546875" style="33" customWidth="1"/>
    <col min="9219" max="9225" width="10.7109375" style="33" customWidth="1"/>
    <col min="9226" max="9473" width="11.85546875" style="33"/>
    <col min="9474" max="9474" width="35.85546875" style="33" customWidth="1"/>
    <col min="9475" max="9481" width="10.7109375" style="33" customWidth="1"/>
    <col min="9482" max="9729" width="11.85546875" style="33"/>
    <col min="9730" max="9730" width="35.85546875" style="33" customWidth="1"/>
    <col min="9731" max="9737" width="10.7109375" style="33" customWidth="1"/>
    <col min="9738" max="9985" width="11.85546875" style="33"/>
    <col min="9986" max="9986" width="35.85546875" style="33" customWidth="1"/>
    <col min="9987" max="9993" width="10.7109375" style="33" customWidth="1"/>
    <col min="9994" max="10241" width="11.85546875" style="33"/>
    <col min="10242" max="10242" width="35.85546875" style="33" customWidth="1"/>
    <col min="10243" max="10249" width="10.7109375" style="33" customWidth="1"/>
    <col min="10250" max="10497" width="11.85546875" style="33"/>
    <col min="10498" max="10498" width="35.85546875" style="33" customWidth="1"/>
    <col min="10499" max="10505" width="10.7109375" style="33" customWidth="1"/>
    <col min="10506" max="10753" width="11.85546875" style="33"/>
    <col min="10754" max="10754" width="35.85546875" style="33" customWidth="1"/>
    <col min="10755" max="10761" width="10.7109375" style="33" customWidth="1"/>
    <col min="10762" max="11009" width="11.85546875" style="33"/>
    <col min="11010" max="11010" width="35.85546875" style="33" customWidth="1"/>
    <col min="11011" max="11017" width="10.7109375" style="33" customWidth="1"/>
    <col min="11018" max="11265" width="11.85546875" style="33"/>
    <col min="11266" max="11266" width="35.85546875" style="33" customWidth="1"/>
    <col min="11267" max="11273" width="10.7109375" style="33" customWidth="1"/>
    <col min="11274" max="11521" width="11.85546875" style="33"/>
    <col min="11522" max="11522" width="35.85546875" style="33" customWidth="1"/>
    <col min="11523" max="11529" width="10.7109375" style="33" customWidth="1"/>
    <col min="11530" max="11777" width="11.85546875" style="33"/>
    <col min="11778" max="11778" width="35.85546875" style="33" customWidth="1"/>
    <col min="11779" max="11785" width="10.7109375" style="33" customWidth="1"/>
    <col min="11786" max="12033" width="11.85546875" style="33"/>
    <col min="12034" max="12034" width="35.85546875" style="33" customWidth="1"/>
    <col min="12035" max="12041" width="10.7109375" style="33" customWidth="1"/>
    <col min="12042" max="12289" width="11.85546875" style="33"/>
    <col min="12290" max="12290" width="35.85546875" style="33" customWidth="1"/>
    <col min="12291" max="12297" width="10.7109375" style="33" customWidth="1"/>
    <col min="12298" max="12545" width="11.85546875" style="33"/>
    <col min="12546" max="12546" width="35.85546875" style="33" customWidth="1"/>
    <col min="12547" max="12553" width="10.7109375" style="33" customWidth="1"/>
    <col min="12554" max="12801" width="11.85546875" style="33"/>
    <col min="12802" max="12802" width="35.85546875" style="33" customWidth="1"/>
    <col min="12803" max="12809" width="10.7109375" style="33" customWidth="1"/>
    <col min="12810" max="13057" width="11.85546875" style="33"/>
    <col min="13058" max="13058" width="35.85546875" style="33" customWidth="1"/>
    <col min="13059" max="13065" width="10.7109375" style="33" customWidth="1"/>
    <col min="13066" max="13313" width="11.85546875" style="33"/>
    <col min="13314" max="13314" width="35.85546875" style="33" customWidth="1"/>
    <col min="13315" max="13321" width="10.7109375" style="33" customWidth="1"/>
    <col min="13322" max="13569" width="11.85546875" style="33"/>
    <col min="13570" max="13570" width="35.85546875" style="33" customWidth="1"/>
    <col min="13571" max="13577" width="10.7109375" style="33" customWidth="1"/>
    <col min="13578" max="13825" width="11.85546875" style="33"/>
    <col min="13826" max="13826" width="35.85546875" style="33" customWidth="1"/>
    <col min="13827" max="13833" width="10.7109375" style="33" customWidth="1"/>
    <col min="13834" max="14081" width="11.85546875" style="33"/>
    <col min="14082" max="14082" width="35.85546875" style="33" customWidth="1"/>
    <col min="14083" max="14089" width="10.7109375" style="33" customWidth="1"/>
    <col min="14090" max="14337" width="11.85546875" style="33"/>
    <col min="14338" max="14338" width="35.85546875" style="33" customWidth="1"/>
    <col min="14339" max="14345" width="10.7109375" style="33" customWidth="1"/>
    <col min="14346" max="14593" width="11.85546875" style="33"/>
    <col min="14594" max="14594" width="35.85546875" style="33" customWidth="1"/>
    <col min="14595" max="14601" width="10.7109375" style="33" customWidth="1"/>
    <col min="14602" max="14849" width="11.85546875" style="33"/>
    <col min="14850" max="14850" width="35.85546875" style="33" customWidth="1"/>
    <col min="14851" max="14857" width="10.7109375" style="33" customWidth="1"/>
    <col min="14858" max="15105" width="11.85546875" style="33"/>
    <col min="15106" max="15106" width="35.85546875" style="33" customWidth="1"/>
    <col min="15107" max="15113" width="10.7109375" style="33" customWidth="1"/>
    <col min="15114" max="15361" width="11.85546875" style="33"/>
    <col min="15362" max="15362" width="35.85546875" style="33" customWidth="1"/>
    <col min="15363" max="15369" width="10.7109375" style="33" customWidth="1"/>
    <col min="15370" max="15617" width="11.85546875" style="33"/>
    <col min="15618" max="15618" width="35.85546875" style="33" customWidth="1"/>
    <col min="15619" max="15625" width="10.7109375" style="33" customWidth="1"/>
    <col min="15626" max="15873" width="11.85546875" style="33"/>
    <col min="15874" max="15874" width="35.85546875" style="33" customWidth="1"/>
    <col min="15875" max="15881" width="10.7109375" style="33" customWidth="1"/>
    <col min="15882" max="16129" width="11.85546875" style="33"/>
    <col min="16130" max="16130" width="35.85546875" style="33" customWidth="1"/>
    <col min="16131" max="16137" width="10.7109375" style="33" customWidth="1"/>
    <col min="16138" max="16384" width="11.85546875" style="33"/>
  </cols>
  <sheetData>
    <row r="1" spans="1:23" ht="12.75" customHeight="1">
      <c r="A1" s="3459" t="s">
        <v>249</v>
      </c>
      <c r="B1" s="3459"/>
      <c r="C1" s="3459"/>
      <c r="D1" s="3459"/>
      <c r="E1" s="3459"/>
      <c r="F1" s="3459"/>
      <c r="G1" s="3459"/>
      <c r="H1" s="3459"/>
      <c r="I1" s="3459"/>
      <c r="J1" s="3459"/>
      <c r="K1" s="3459"/>
      <c r="L1" s="3459"/>
      <c r="M1" s="3459"/>
      <c r="N1" s="3459"/>
      <c r="O1" s="3459"/>
      <c r="P1" s="3459"/>
      <c r="Q1" s="3459"/>
      <c r="R1" s="3459"/>
      <c r="S1" s="3459"/>
      <c r="T1" s="3459"/>
      <c r="U1" s="3459"/>
      <c r="V1" s="3459"/>
      <c r="W1" s="3459"/>
    </row>
    <row r="2" spans="1:23" ht="36.75" customHeight="1">
      <c r="A2" s="3457" t="s">
        <v>877</v>
      </c>
      <c r="B2" s="3457"/>
      <c r="C2" s="3457"/>
      <c r="D2" s="3457"/>
      <c r="E2" s="3457"/>
      <c r="F2" s="3457"/>
      <c r="G2" s="3457"/>
      <c r="H2" s="3457"/>
      <c r="I2" s="3457"/>
      <c r="J2" s="3457"/>
      <c r="K2" s="3457"/>
      <c r="L2" s="3457"/>
      <c r="M2" s="3457"/>
      <c r="N2" s="3457"/>
      <c r="O2" s="3457"/>
      <c r="P2" s="3457"/>
      <c r="Q2" s="3457"/>
      <c r="R2" s="3457"/>
      <c r="S2" s="3457"/>
      <c r="T2" s="3457"/>
      <c r="U2" s="3457"/>
      <c r="V2" s="3457"/>
      <c r="W2" s="3457"/>
    </row>
    <row r="3" spans="1:23" s="232" customFormat="1" ht="18" customHeight="1">
      <c r="A3" s="3458" t="str">
        <f>'1. Анкетна карта'!A3</f>
        <v>на "Водоснабдяване и канализация" ООД , гр. Враца</v>
      </c>
      <c r="B3" s="3458"/>
      <c r="C3" s="3458"/>
      <c r="D3" s="3458"/>
      <c r="E3" s="3458"/>
      <c r="F3" s="3458"/>
      <c r="G3" s="3458"/>
      <c r="H3" s="3458"/>
      <c r="I3" s="3458"/>
      <c r="J3" s="3458"/>
      <c r="K3" s="3458"/>
      <c r="L3" s="3458"/>
      <c r="M3" s="3458"/>
      <c r="N3" s="3458"/>
      <c r="O3" s="3458"/>
      <c r="P3" s="3458"/>
      <c r="Q3" s="3458"/>
      <c r="R3" s="3458"/>
      <c r="S3" s="3458"/>
      <c r="T3" s="3458"/>
      <c r="U3" s="3458"/>
      <c r="V3" s="3458"/>
      <c r="W3" s="3458"/>
    </row>
    <row r="4" spans="1:23" s="232" customFormat="1" ht="18" customHeight="1">
      <c r="A4" s="3458" t="str">
        <f>'1. Анкетна карта'!A4</f>
        <v>ЕИК по БУЛСТАТ: 816090199</v>
      </c>
      <c r="B4" s="3458"/>
      <c r="C4" s="3458"/>
      <c r="D4" s="3458"/>
      <c r="E4" s="3458"/>
      <c r="F4" s="3458"/>
      <c r="G4" s="3458"/>
      <c r="H4" s="3458"/>
      <c r="I4" s="3458"/>
      <c r="J4" s="3458"/>
      <c r="K4" s="3458"/>
      <c r="L4" s="3458"/>
      <c r="M4" s="3458"/>
      <c r="N4" s="3458"/>
      <c r="O4" s="3458"/>
      <c r="P4" s="3458"/>
      <c r="Q4" s="3458"/>
      <c r="R4" s="3458"/>
      <c r="S4" s="3458"/>
      <c r="T4" s="3458"/>
      <c r="U4" s="3458"/>
      <c r="V4" s="3458"/>
      <c r="W4" s="3458"/>
    </row>
    <row r="5" spans="1:23" ht="13.5" customHeight="1" thickBot="1">
      <c r="B5" s="34"/>
      <c r="C5" s="35"/>
      <c r="D5" s="36"/>
      <c r="E5" s="37"/>
      <c r="F5" s="37"/>
      <c r="G5" s="37"/>
      <c r="K5" s="123"/>
      <c r="L5" s="23"/>
      <c r="M5" s="23"/>
      <c r="W5" s="38" t="s">
        <v>250</v>
      </c>
    </row>
    <row r="6" spans="1:23" ht="13.5" customHeight="1">
      <c r="A6" s="3464" t="s">
        <v>1</v>
      </c>
      <c r="B6" s="3468" t="s">
        <v>251</v>
      </c>
      <c r="C6" s="3470" t="s">
        <v>273</v>
      </c>
      <c r="D6" s="3471"/>
      <c r="E6" s="3471"/>
      <c r="F6" s="3471"/>
      <c r="G6" s="3471"/>
      <c r="H6" s="3471"/>
      <c r="I6" s="3472"/>
      <c r="J6" s="3475" t="s">
        <v>230</v>
      </c>
      <c r="K6" s="3471"/>
      <c r="L6" s="3471"/>
      <c r="M6" s="3471"/>
      <c r="N6" s="3471"/>
      <c r="O6" s="3471"/>
      <c r="P6" s="3476"/>
      <c r="Q6" s="3470" t="s">
        <v>241</v>
      </c>
      <c r="R6" s="3471"/>
      <c r="S6" s="3471"/>
      <c r="T6" s="3471"/>
      <c r="U6" s="3471"/>
      <c r="V6" s="3471"/>
      <c r="W6" s="3472"/>
    </row>
    <row r="7" spans="1:23" s="39" customFormat="1" ht="21.75" customHeight="1" thickBot="1">
      <c r="A7" s="3465"/>
      <c r="B7" s="3469"/>
      <c r="C7" s="1308" t="str">
        <f>'Приложение '!G12</f>
        <v>2015 г.</v>
      </c>
      <c r="D7" s="1263" t="str">
        <f>'Приложение '!G13</f>
        <v>2016 г.</v>
      </c>
      <c r="E7" s="1263" t="str">
        <f>'Приложение '!G14</f>
        <v>2017 г.</v>
      </c>
      <c r="F7" s="1263" t="str">
        <f>'Приложение '!G15</f>
        <v>2018 г.</v>
      </c>
      <c r="G7" s="1263" t="str">
        <f>'Приложение '!G16</f>
        <v>2019 г.</v>
      </c>
      <c r="H7" s="1263" t="str">
        <f>'Приложение '!G17</f>
        <v>2020 г.</v>
      </c>
      <c r="I7" s="1264" t="str">
        <f>'Приложение '!G18</f>
        <v>2021 г.</v>
      </c>
      <c r="J7" s="1304" t="str">
        <f>C7</f>
        <v>2015 г.</v>
      </c>
      <c r="K7" s="1263" t="str">
        <f t="shared" ref="K7:W7" si="0">D7</f>
        <v>2016 г.</v>
      </c>
      <c r="L7" s="1263" t="str">
        <f t="shared" si="0"/>
        <v>2017 г.</v>
      </c>
      <c r="M7" s="1263" t="str">
        <f t="shared" si="0"/>
        <v>2018 г.</v>
      </c>
      <c r="N7" s="1263" t="str">
        <f t="shared" si="0"/>
        <v>2019 г.</v>
      </c>
      <c r="O7" s="1263" t="str">
        <f t="shared" si="0"/>
        <v>2020 г.</v>
      </c>
      <c r="P7" s="1300" t="str">
        <f t="shared" si="0"/>
        <v>2021 г.</v>
      </c>
      <c r="Q7" s="1308" t="str">
        <f t="shared" si="0"/>
        <v>2015 г.</v>
      </c>
      <c r="R7" s="1263" t="str">
        <f t="shared" si="0"/>
        <v>2016 г.</v>
      </c>
      <c r="S7" s="1263" t="str">
        <f t="shared" si="0"/>
        <v>2017 г.</v>
      </c>
      <c r="T7" s="1263" t="str">
        <f t="shared" si="0"/>
        <v>2018 г.</v>
      </c>
      <c r="U7" s="1263" t="str">
        <f t="shared" si="0"/>
        <v>2019 г.</v>
      </c>
      <c r="V7" s="1263" t="str">
        <f t="shared" si="0"/>
        <v>2020 г.</v>
      </c>
      <c r="W7" s="1264" t="str">
        <f t="shared" si="0"/>
        <v>2021 г.</v>
      </c>
    </row>
    <row r="8" spans="1:23" s="39" customFormat="1" ht="15" customHeight="1">
      <c r="A8" s="1256">
        <v>1</v>
      </c>
      <c r="B8" s="1297" t="s">
        <v>481</v>
      </c>
      <c r="C8" s="1309">
        <f>'9.Инвестиционна програма'!E87</f>
        <v>2072.6753541076487</v>
      </c>
      <c r="D8" s="1257">
        <f>'9.Инвестиционна програма'!F87</f>
        <v>3543.7037037037035</v>
      </c>
      <c r="E8" s="1257">
        <f>'9.Инвестиционна програма'!G87</f>
        <v>1032.7045203969128</v>
      </c>
      <c r="F8" s="1257">
        <f>'9.Инвестиционна програма'!H87</f>
        <v>1067.8610315186247</v>
      </c>
      <c r="G8" s="1257">
        <f>'9.Инвестиционна програма'!I87</f>
        <v>1036.5127942681679</v>
      </c>
      <c r="H8" s="1257">
        <f>'9.Инвестиционна програма'!J87</f>
        <v>999.16648168701443</v>
      </c>
      <c r="I8" s="1258">
        <f>'9.Инвестиционна програма'!K87</f>
        <v>963.33962264150944</v>
      </c>
      <c r="J8" s="1305">
        <f>'9.Инвестиционна програма'!E88</f>
        <v>4.8883852691218133</v>
      </c>
      <c r="K8" s="1257">
        <f>'9.Инвестиционна програма'!F88</f>
        <v>62.309368191721134</v>
      </c>
      <c r="L8" s="1257">
        <f>'9.Инвестиционна програма'!G88</f>
        <v>1864.0915104740905</v>
      </c>
      <c r="M8" s="1257">
        <f>'9.Инвестиционна програма'!H88</f>
        <v>44.396848137535819</v>
      </c>
      <c r="N8" s="1257">
        <f>'9.Инвестиционна програма'!I88</f>
        <v>88.949846468781985</v>
      </c>
      <c r="O8" s="1257">
        <f>'9.Инвестиционна програма'!J88</f>
        <v>77.248612652608216</v>
      </c>
      <c r="P8" s="1301">
        <f>'9.Инвестиционна програма'!K88</f>
        <v>55.676886792452834</v>
      </c>
      <c r="Q8" s="1309">
        <f>'9.Инвестиционна програма'!E89</f>
        <v>79.436260623229458</v>
      </c>
      <c r="R8" s="1257">
        <f>'9.Инвестиционна програма'!F89</f>
        <v>33.986928104575163</v>
      </c>
      <c r="S8" s="1257">
        <f>'9.Инвестиционна програма'!G89</f>
        <v>64.20396912899669</v>
      </c>
      <c r="T8" s="1257">
        <f>'9.Инвестиционна програма'!H89</f>
        <v>518.74212034383959</v>
      </c>
      <c r="U8" s="1257">
        <f>'9.Инвестиционна програма'!I89</f>
        <v>81.537359263050149</v>
      </c>
      <c r="V8" s="1257">
        <f>'9.Инвестиционна програма'!J89</f>
        <v>64.584905660377359</v>
      </c>
      <c r="W8" s="1258">
        <f>'9.Инвестиционна програма'!K89</f>
        <v>78.98349056603773</v>
      </c>
    </row>
    <row r="9" spans="1:23" s="1253" customFormat="1" ht="12">
      <c r="A9" s="1273" t="s">
        <v>642</v>
      </c>
      <c r="B9" s="1298" t="s">
        <v>1248</v>
      </c>
      <c r="C9" s="1310">
        <f>'9.Инвестиционна програма'!E92</f>
        <v>623.67535410764867</v>
      </c>
      <c r="D9" s="1251">
        <f>'9.Инвестиционна програма'!F92</f>
        <v>1488.7037037037037</v>
      </c>
      <c r="E9" s="1251">
        <f>'9.Инвестиционна програма'!G92</f>
        <v>272.70452039691293</v>
      </c>
      <c r="F9" s="1251">
        <f>'9.Инвестиционна програма'!H92</f>
        <v>342.86103151862466</v>
      </c>
      <c r="G9" s="1251">
        <f>'9.Инвестиционна програма'!I92</f>
        <v>376.51279426816791</v>
      </c>
      <c r="H9" s="1251">
        <f>'9.Инвестиционна програма'!J92</f>
        <v>329.16648168701443</v>
      </c>
      <c r="I9" s="1311">
        <f>'9.Инвестиционна програма'!K92</f>
        <v>348.33962264150944</v>
      </c>
      <c r="J9" s="1306">
        <f>'9.Инвестиционна програма'!E93</f>
        <v>0.88838526912181293</v>
      </c>
      <c r="K9" s="1251">
        <f>'9.Инвестиционна програма'!F93</f>
        <v>7.3093681917211333</v>
      </c>
      <c r="L9" s="1251">
        <f>'9.Инвестиционна програма'!G93</f>
        <v>1821.0915104740905</v>
      </c>
      <c r="M9" s="1251">
        <f>'9.Инвестиционна програма'!H93</f>
        <v>6.3968481375358168</v>
      </c>
      <c r="N9" s="1251">
        <f>'9.Инвестиционна програма'!I93</f>
        <v>16.949846468781985</v>
      </c>
      <c r="O9" s="1251">
        <f>'9.Инвестиционна програма'!J93</f>
        <v>16.248612652608216</v>
      </c>
      <c r="P9" s="1302">
        <f>'9.Инвестиционна програма'!K93</f>
        <v>12.67688679245283</v>
      </c>
      <c r="Q9" s="1314">
        <f>'9.Инвестиционна програма'!E94</f>
        <v>79.436260623229458</v>
      </c>
      <c r="R9" s="1252">
        <f>'9.Инвестиционна програма'!F94</f>
        <v>33.986928104575163</v>
      </c>
      <c r="S9" s="1252">
        <f>'9.Инвестиционна програма'!G94</f>
        <v>25.203969128996693</v>
      </c>
      <c r="T9" s="1252">
        <f>'9.Инвестиционна програма'!H94</f>
        <v>484.74212034383953</v>
      </c>
      <c r="U9" s="1252">
        <f>'9.Инвестиционна програма'!I94</f>
        <v>35.537359263050149</v>
      </c>
      <c r="V9" s="1252">
        <f>'9.Инвестиционна програма'!J94</f>
        <v>33.584905660377359</v>
      </c>
      <c r="W9" s="1259">
        <f>'9.Инвестиционна програма'!K94</f>
        <v>37.98349056603773</v>
      </c>
    </row>
    <row r="10" spans="1:23" s="1253" customFormat="1" thickBot="1">
      <c r="A10" s="1274" t="s">
        <v>644</v>
      </c>
      <c r="B10" s="1299" t="s">
        <v>1247</v>
      </c>
      <c r="C10" s="1312">
        <f>'9.Инвестиционна програма'!E96</f>
        <v>1449</v>
      </c>
      <c r="D10" s="1260">
        <f>'9.Инвестиционна програма'!F96</f>
        <v>2055</v>
      </c>
      <c r="E10" s="1260">
        <f>'9.Инвестиционна програма'!G96</f>
        <v>759.99999999999989</v>
      </c>
      <c r="F10" s="1260">
        <f>'9.Инвестиционна програма'!H96</f>
        <v>725</v>
      </c>
      <c r="G10" s="1260">
        <f>'9.Инвестиционна програма'!I96</f>
        <v>660</v>
      </c>
      <c r="H10" s="1260">
        <f>'9.Инвестиционна програма'!J96</f>
        <v>670</v>
      </c>
      <c r="I10" s="1313">
        <f>'9.Инвестиционна програма'!K96</f>
        <v>615</v>
      </c>
      <c r="J10" s="1307">
        <f>'9.Инвестиционна програма'!E97</f>
        <v>4</v>
      </c>
      <c r="K10" s="1261">
        <f>'9.Инвестиционна програма'!F97</f>
        <v>55</v>
      </c>
      <c r="L10" s="1261">
        <f>'9.Инвестиционна програма'!G97</f>
        <v>43</v>
      </c>
      <c r="M10" s="1261">
        <f>'9.Инвестиционна програма'!H97</f>
        <v>38</v>
      </c>
      <c r="N10" s="1261">
        <f>'9.Инвестиционна програма'!I97</f>
        <v>72</v>
      </c>
      <c r="O10" s="1261">
        <f>'9.Инвестиционна програма'!J97</f>
        <v>61</v>
      </c>
      <c r="P10" s="1303">
        <f>'9.Инвестиционна програма'!K97</f>
        <v>43</v>
      </c>
      <c r="Q10" s="1315">
        <f>'9.Инвестиционна програма'!E98</f>
        <v>0</v>
      </c>
      <c r="R10" s="1261">
        <f>'9.Инвестиционна програма'!F98</f>
        <v>0</v>
      </c>
      <c r="S10" s="1261">
        <f>'9.Инвестиционна програма'!G98</f>
        <v>39</v>
      </c>
      <c r="T10" s="1261">
        <f>'9.Инвестиционна програма'!H98</f>
        <v>34.000000000000057</v>
      </c>
      <c r="U10" s="1261">
        <f>'9.Инвестиционна програма'!I98</f>
        <v>46</v>
      </c>
      <c r="V10" s="1261">
        <f>'9.Инвестиционна програма'!J98</f>
        <v>31</v>
      </c>
      <c r="W10" s="1262">
        <f>'9.Инвестиционна програма'!K98</f>
        <v>41</v>
      </c>
    </row>
    <row r="11" spans="1:23" s="126" customFormat="1" ht="13.5" thickBot="1">
      <c r="A11" s="1250"/>
      <c r="B11" s="1200"/>
      <c r="C11" s="1200"/>
      <c r="D11" s="1201"/>
      <c r="E11" s="1201"/>
      <c r="F11" s="1201"/>
      <c r="G11" s="1201"/>
      <c r="H11" s="1201"/>
      <c r="I11" s="1201"/>
      <c r="K11" s="1198"/>
      <c r="L11" s="49"/>
      <c r="M11" s="49"/>
    </row>
    <row r="12" spans="1:23" s="1250" customFormat="1">
      <c r="A12" s="1265">
        <v>2</v>
      </c>
      <c r="B12" s="1297" t="s">
        <v>480</v>
      </c>
      <c r="C12" s="1325">
        <f t="shared" ref="C12:W12" si="1">C13+C16</f>
        <v>2072.6753541076487</v>
      </c>
      <c r="D12" s="1266">
        <f t="shared" si="1"/>
        <v>3543.7037037037035</v>
      </c>
      <c r="E12" s="1266">
        <f t="shared" si="1"/>
        <v>1032.7045203969128</v>
      </c>
      <c r="F12" s="1266">
        <f t="shared" si="1"/>
        <v>1067.8610315186247</v>
      </c>
      <c r="G12" s="1266">
        <f t="shared" si="1"/>
        <v>1036.5127942681679</v>
      </c>
      <c r="H12" s="1266">
        <f t="shared" si="1"/>
        <v>999.16648168701443</v>
      </c>
      <c r="I12" s="1267">
        <f t="shared" si="1"/>
        <v>963.33962264150944</v>
      </c>
      <c r="J12" s="1321">
        <f t="shared" si="1"/>
        <v>4.8883852691218133</v>
      </c>
      <c r="K12" s="1266">
        <f t="shared" si="1"/>
        <v>62.309368191721134</v>
      </c>
      <c r="L12" s="1266">
        <f t="shared" si="1"/>
        <v>1864.0915104740905</v>
      </c>
      <c r="M12" s="1266">
        <f t="shared" si="1"/>
        <v>44.396848137535819</v>
      </c>
      <c r="N12" s="1266">
        <f t="shared" si="1"/>
        <v>88.949846468781985</v>
      </c>
      <c r="O12" s="1266">
        <f t="shared" si="1"/>
        <v>77.248612652608216</v>
      </c>
      <c r="P12" s="1317">
        <f t="shared" si="1"/>
        <v>55.676886792452834</v>
      </c>
      <c r="Q12" s="1325">
        <f t="shared" si="1"/>
        <v>79.436260623229458</v>
      </c>
      <c r="R12" s="1266">
        <f t="shared" si="1"/>
        <v>33.986928104575163</v>
      </c>
      <c r="S12" s="1266">
        <f t="shared" si="1"/>
        <v>64.20396912899669</v>
      </c>
      <c r="T12" s="1266">
        <f t="shared" si="1"/>
        <v>518.74212034383959</v>
      </c>
      <c r="U12" s="1266">
        <f t="shared" si="1"/>
        <v>81.537359263050149</v>
      </c>
      <c r="V12" s="1266">
        <f t="shared" si="1"/>
        <v>64.584905660377359</v>
      </c>
      <c r="W12" s="1267">
        <f t="shared" si="1"/>
        <v>78.98349056603773</v>
      </c>
    </row>
    <row r="13" spans="1:23" s="1246" customFormat="1">
      <c r="A13" s="1268" t="s">
        <v>661</v>
      </c>
      <c r="B13" s="1316" t="s">
        <v>1263</v>
      </c>
      <c r="C13" s="1326">
        <f>C14+C15</f>
        <v>623.67535410764867</v>
      </c>
      <c r="D13" s="1248">
        <f t="shared" ref="D13:W13" si="2">D14+D15</f>
        <v>1488.7037037037037</v>
      </c>
      <c r="E13" s="1248">
        <f t="shared" si="2"/>
        <v>272.70452039691293</v>
      </c>
      <c r="F13" s="1248">
        <f t="shared" si="2"/>
        <v>342.86103151862466</v>
      </c>
      <c r="G13" s="1248">
        <f t="shared" si="2"/>
        <v>376.51279426816791</v>
      </c>
      <c r="H13" s="1248">
        <f t="shared" si="2"/>
        <v>329.16648168701443</v>
      </c>
      <c r="I13" s="1269">
        <f t="shared" si="2"/>
        <v>348.33962264150944</v>
      </c>
      <c r="J13" s="1322">
        <f t="shared" si="2"/>
        <v>0.88838526912181293</v>
      </c>
      <c r="K13" s="1248">
        <f t="shared" si="2"/>
        <v>7.3093681917211333</v>
      </c>
      <c r="L13" s="1248">
        <f t="shared" si="2"/>
        <v>1821.0915104740905</v>
      </c>
      <c r="M13" s="1248">
        <f t="shared" si="2"/>
        <v>6.3968481375358168</v>
      </c>
      <c r="N13" s="1248">
        <f t="shared" si="2"/>
        <v>16.949846468781985</v>
      </c>
      <c r="O13" s="1248">
        <f t="shared" si="2"/>
        <v>16.248612652608216</v>
      </c>
      <c r="P13" s="1318">
        <f t="shared" si="2"/>
        <v>12.67688679245283</v>
      </c>
      <c r="Q13" s="1326">
        <f t="shared" si="2"/>
        <v>79.436260623229458</v>
      </c>
      <c r="R13" s="1248">
        <f t="shared" si="2"/>
        <v>33.986928104575163</v>
      </c>
      <c r="S13" s="1248">
        <f t="shared" si="2"/>
        <v>25.203969128996693</v>
      </c>
      <c r="T13" s="1248">
        <f t="shared" si="2"/>
        <v>484.74212034383953</v>
      </c>
      <c r="U13" s="1248">
        <f t="shared" si="2"/>
        <v>35.537359263050149</v>
      </c>
      <c r="V13" s="1248">
        <f t="shared" si="2"/>
        <v>33.584905660377359</v>
      </c>
      <c r="W13" s="1269">
        <f t="shared" si="2"/>
        <v>37.98349056603773</v>
      </c>
    </row>
    <row r="14" spans="1:23" s="38" customFormat="1">
      <c r="A14" s="1275" t="s">
        <v>1268</v>
      </c>
      <c r="B14" s="1298" t="s">
        <v>1264</v>
      </c>
      <c r="C14" s="1327">
        <f>'9.Инвестиционна програма'!M92</f>
        <v>623.67535410764867</v>
      </c>
      <c r="D14" s="1249">
        <f>'9.Инвестиционна програма'!N92</f>
        <v>1488.7037037037037</v>
      </c>
      <c r="E14" s="1249">
        <f>'9.Инвестиционна програма'!O92</f>
        <v>272.70452039691293</v>
      </c>
      <c r="F14" s="1249">
        <f>'9.Инвестиционна програма'!P92</f>
        <v>342.86103151862466</v>
      </c>
      <c r="G14" s="1249">
        <f>'9.Инвестиционна програма'!Q92</f>
        <v>376.51279426816791</v>
      </c>
      <c r="H14" s="1249">
        <f>'9.Инвестиционна програма'!R92</f>
        <v>329.16648168701443</v>
      </c>
      <c r="I14" s="1270">
        <f>'9.Инвестиционна програма'!S92</f>
        <v>348.33962264150944</v>
      </c>
      <c r="J14" s="1323">
        <f>'9.Инвестиционна програма'!M93</f>
        <v>0.88838526912181293</v>
      </c>
      <c r="K14" s="1249">
        <f>'9.Инвестиционна програма'!N93</f>
        <v>7.3093681917211333</v>
      </c>
      <c r="L14" s="1249">
        <f>'9.Инвестиционна програма'!O93</f>
        <v>1821.0915104740905</v>
      </c>
      <c r="M14" s="1249">
        <f>'9.Инвестиционна програма'!P93</f>
        <v>6.3968481375358168</v>
      </c>
      <c r="N14" s="1249">
        <f>'9.Инвестиционна програма'!Q93</f>
        <v>16.949846468781985</v>
      </c>
      <c r="O14" s="1249">
        <f>'9.Инвестиционна програма'!R93</f>
        <v>16.248612652608216</v>
      </c>
      <c r="P14" s="1319">
        <f>'9.Инвестиционна програма'!S93</f>
        <v>12.67688679245283</v>
      </c>
      <c r="Q14" s="1327">
        <f>'9.Инвестиционна програма'!M94</f>
        <v>79.436260623229458</v>
      </c>
      <c r="R14" s="1249">
        <f>'9.Инвестиционна програма'!N94</f>
        <v>33.986928104575163</v>
      </c>
      <c r="S14" s="1249">
        <f>'9.Инвестиционна програма'!O94</f>
        <v>25.203969128996693</v>
      </c>
      <c r="T14" s="1249">
        <f>'9.Инвестиционна програма'!P94</f>
        <v>484.74212034383953</v>
      </c>
      <c r="U14" s="1249">
        <f>'9.Инвестиционна програма'!Q94</f>
        <v>35.537359263050149</v>
      </c>
      <c r="V14" s="1249">
        <f>'9.Инвестиционна програма'!R94</f>
        <v>33.584905660377359</v>
      </c>
      <c r="W14" s="1270">
        <f>'9.Инвестиционна програма'!S94</f>
        <v>37.98349056603773</v>
      </c>
    </row>
    <row r="15" spans="1:23" s="38" customFormat="1">
      <c r="A15" s="1275" t="s">
        <v>1269</v>
      </c>
      <c r="B15" s="1298" t="s">
        <v>1265</v>
      </c>
      <c r="C15" s="1327">
        <f>'9.Инвестиционна програма'!T92</f>
        <v>0</v>
      </c>
      <c r="D15" s="1249">
        <f>'9.Инвестиционна програма'!U92</f>
        <v>0</v>
      </c>
      <c r="E15" s="1249">
        <f>'9.Инвестиционна програма'!V92</f>
        <v>0</v>
      </c>
      <c r="F15" s="1249">
        <f>'9.Инвестиционна програма'!W92</f>
        <v>0</v>
      </c>
      <c r="G15" s="1249">
        <f>'9.Инвестиционна програма'!X92</f>
        <v>0</v>
      </c>
      <c r="H15" s="1249">
        <f>'9.Инвестиционна програма'!Y92</f>
        <v>0</v>
      </c>
      <c r="I15" s="1270">
        <f>'9.Инвестиционна програма'!Z92</f>
        <v>0</v>
      </c>
      <c r="J15" s="1323">
        <f>'9.Инвестиционна програма'!T93</f>
        <v>0</v>
      </c>
      <c r="K15" s="1249">
        <f>'9.Инвестиционна програма'!U93</f>
        <v>0</v>
      </c>
      <c r="L15" s="1249">
        <f>'9.Инвестиционна програма'!V93</f>
        <v>0</v>
      </c>
      <c r="M15" s="1249">
        <f>'9.Инвестиционна програма'!W93</f>
        <v>0</v>
      </c>
      <c r="N15" s="1249">
        <f>'9.Инвестиционна програма'!X93</f>
        <v>0</v>
      </c>
      <c r="O15" s="1249">
        <f>'9.Инвестиционна програма'!Y93</f>
        <v>0</v>
      </c>
      <c r="P15" s="1319">
        <f>'9.Инвестиционна програма'!Z93</f>
        <v>0</v>
      </c>
      <c r="Q15" s="1327">
        <f>'9.Инвестиционна програма'!T94</f>
        <v>0</v>
      </c>
      <c r="R15" s="1249">
        <f>'9.Инвестиционна програма'!U94</f>
        <v>0</v>
      </c>
      <c r="S15" s="1249">
        <f>'9.Инвестиционна програма'!V94</f>
        <v>0</v>
      </c>
      <c r="T15" s="1249">
        <f>'9.Инвестиционна програма'!W94</f>
        <v>0</v>
      </c>
      <c r="U15" s="1249">
        <f>'9.Инвестиционна програма'!X94</f>
        <v>0</v>
      </c>
      <c r="V15" s="1249">
        <f>'9.Инвестиционна програма'!Y94</f>
        <v>0</v>
      </c>
      <c r="W15" s="1270">
        <f>'9.Инвестиционна програма'!Z94</f>
        <v>0</v>
      </c>
    </row>
    <row r="16" spans="1:23" s="1246" customFormat="1">
      <c r="A16" s="1268" t="s">
        <v>663</v>
      </c>
      <c r="B16" s="1316" t="s">
        <v>1266</v>
      </c>
      <c r="C16" s="1326">
        <f>C17+C18</f>
        <v>1449</v>
      </c>
      <c r="D16" s="1248">
        <f t="shared" ref="D16" si="3">D17+D18</f>
        <v>2055</v>
      </c>
      <c r="E16" s="1248">
        <f t="shared" ref="E16" si="4">E17+E18</f>
        <v>759.99999999999989</v>
      </c>
      <c r="F16" s="1248">
        <f t="shared" ref="F16" si="5">F17+F18</f>
        <v>725</v>
      </c>
      <c r="G16" s="1248">
        <f t="shared" ref="G16" si="6">G17+G18</f>
        <v>660</v>
      </c>
      <c r="H16" s="1248">
        <f t="shared" ref="H16" si="7">H17+H18</f>
        <v>670</v>
      </c>
      <c r="I16" s="1269">
        <f t="shared" ref="I16" si="8">I17+I18</f>
        <v>615</v>
      </c>
      <c r="J16" s="1322">
        <f t="shared" ref="J16" si="9">J17+J18</f>
        <v>4</v>
      </c>
      <c r="K16" s="1248">
        <f t="shared" ref="K16" si="10">K17+K18</f>
        <v>55</v>
      </c>
      <c r="L16" s="1248">
        <f t="shared" ref="L16" si="11">L17+L18</f>
        <v>43</v>
      </c>
      <c r="M16" s="1248">
        <f t="shared" ref="M16" si="12">M17+M18</f>
        <v>38</v>
      </c>
      <c r="N16" s="1248">
        <f t="shared" ref="N16" si="13">N17+N18</f>
        <v>72</v>
      </c>
      <c r="O16" s="1248">
        <f t="shared" ref="O16" si="14">O17+O18</f>
        <v>61</v>
      </c>
      <c r="P16" s="1318">
        <f t="shared" ref="P16" si="15">P17+P18</f>
        <v>43</v>
      </c>
      <c r="Q16" s="1326">
        <f t="shared" ref="Q16" si="16">Q17+Q18</f>
        <v>0</v>
      </c>
      <c r="R16" s="1248">
        <f t="shared" ref="R16" si="17">R17+R18</f>
        <v>0</v>
      </c>
      <c r="S16" s="1248">
        <f t="shared" ref="S16" si="18">S17+S18</f>
        <v>39</v>
      </c>
      <c r="T16" s="1248">
        <f t="shared" ref="T16" si="19">T17+T18</f>
        <v>34.000000000000057</v>
      </c>
      <c r="U16" s="1248">
        <f t="shared" ref="U16" si="20">U17+U18</f>
        <v>46</v>
      </c>
      <c r="V16" s="1248">
        <f t="shared" ref="V16" si="21">V17+V18</f>
        <v>31</v>
      </c>
      <c r="W16" s="1269">
        <f t="shared" ref="W16" si="22">W17+W18</f>
        <v>41</v>
      </c>
    </row>
    <row r="17" spans="1:23" s="38" customFormat="1">
      <c r="A17" s="1275" t="s">
        <v>1270</v>
      </c>
      <c r="B17" s="1298" t="s">
        <v>1264</v>
      </c>
      <c r="C17" s="1327">
        <f>'9.Инвестиционна програма'!M96</f>
        <v>1449</v>
      </c>
      <c r="D17" s="1249">
        <f>'9.Инвестиционна програма'!N96</f>
        <v>2055</v>
      </c>
      <c r="E17" s="1249">
        <f>'9.Инвестиционна програма'!O96</f>
        <v>759.99999999999989</v>
      </c>
      <c r="F17" s="1249">
        <f>'9.Инвестиционна програма'!P96</f>
        <v>725</v>
      </c>
      <c r="G17" s="1249">
        <f>'9.Инвестиционна програма'!Q96</f>
        <v>660</v>
      </c>
      <c r="H17" s="1249">
        <f>'9.Инвестиционна програма'!R96</f>
        <v>670</v>
      </c>
      <c r="I17" s="1270">
        <f>'9.Инвестиционна програма'!S96</f>
        <v>615</v>
      </c>
      <c r="J17" s="1323">
        <f>'9.Инвестиционна програма'!M97</f>
        <v>4</v>
      </c>
      <c r="K17" s="1249">
        <f>'9.Инвестиционна програма'!N97</f>
        <v>55</v>
      </c>
      <c r="L17" s="1249">
        <f>'9.Инвестиционна програма'!O97</f>
        <v>43</v>
      </c>
      <c r="M17" s="1249">
        <f>'9.Инвестиционна програма'!P97</f>
        <v>38</v>
      </c>
      <c r="N17" s="1249">
        <f>'9.Инвестиционна програма'!Q97</f>
        <v>72</v>
      </c>
      <c r="O17" s="1249">
        <f>'9.Инвестиционна програма'!R97</f>
        <v>61</v>
      </c>
      <c r="P17" s="1319">
        <f>'9.Инвестиционна програма'!S97</f>
        <v>43</v>
      </c>
      <c r="Q17" s="1327">
        <f>'9.Инвестиционна програма'!M98</f>
        <v>0</v>
      </c>
      <c r="R17" s="1249">
        <f>'9.Инвестиционна програма'!N98</f>
        <v>0</v>
      </c>
      <c r="S17" s="1249">
        <f>'9.Инвестиционна програма'!O98</f>
        <v>39</v>
      </c>
      <c r="T17" s="1249">
        <f>'9.Инвестиционна програма'!P98</f>
        <v>34.000000000000057</v>
      </c>
      <c r="U17" s="1249">
        <f>'9.Инвестиционна програма'!Q98</f>
        <v>46</v>
      </c>
      <c r="V17" s="1249">
        <f>'9.Инвестиционна програма'!R98</f>
        <v>31</v>
      </c>
      <c r="W17" s="1270">
        <f>'9.Инвестиционна програма'!S98</f>
        <v>41</v>
      </c>
    </row>
    <row r="18" spans="1:23" s="38" customFormat="1" ht="13.5" thickBot="1">
      <c r="A18" s="1276" t="s">
        <v>1269</v>
      </c>
      <c r="B18" s="1299" t="s">
        <v>1265</v>
      </c>
      <c r="C18" s="1328">
        <f>'9.Инвестиционна програма'!T96</f>
        <v>0</v>
      </c>
      <c r="D18" s="1271">
        <f>'9.Инвестиционна програма'!U96</f>
        <v>0</v>
      </c>
      <c r="E18" s="1271">
        <f>'9.Инвестиционна програма'!V96</f>
        <v>0</v>
      </c>
      <c r="F18" s="1271">
        <f>'9.Инвестиционна програма'!W96</f>
        <v>0</v>
      </c>
      <c r="G18" s="1271">
        <f>'9.Инвестиционна програма'!X96</f>
        <v>0</v>
      </c>
      <c r="H18" s="1271">
        <f>'9.Инвестиционна програма'!Y96</f>
        <v>0</v>
      </c>
      <c r="I18" s="1272">
        <f>'9.Инвестиционна програма'!Z96</f>
        <v>0</v>
      </c>
      <c r="J18" s="1324">
        <f>'9.Инвестиционна програма'!T97</f>
        <v>0</v>
      </c>
      <c r="K18" s="1271">
        <f>'9.Инвестиционна програма'!U97</f>
        <v>0</v>
      </c>
      <c r="L18" s="1271">
        <f>'9.Инвестиционна програма'!V97</f>
        <v>0</v>
      </c>
      <c r="M18" s="1271">
        <f>'9.Инвестиционна програма'!W97</f>
        <v>0</v>
      </c>
      <c r="N18" s="1271">
        <f>'9.Инвестиционна програма'!X97</f>
        <v>0</v>
      </c>
      <c r="O18" s="1271">
        <f>'9.Инвестиционна програма'!Y97</f>
        <v>0</v>
      </c>
      <c r="P18" s="1320">
        <f>'9.Инвестиционна програма'!Z97</f>
        <v>0</v>
      </c>
      <c r="Q18" s="1328">
        <f>'9.Инвестиционна програма'!T98</f>
        <v>0</v>
      </c>
      <c r="R18" s="1271">
        <f>'9.Инвестиционна програма'!U98</f>
        <v>0</v>
      </c>
      <c r="S18" s="1271">
        <f>'9.Инвестиционна програма'!V98</f>
        <v>0</v>
      </c>
      <c r="T18" s="1271">
        <f>'9.Инвестиционна програма'!W98</f>
        <v>0</v>
      </c>
      <c r="U18" s="1271">
        <f>'9.Инвестиционна програма'!X98</f>
        <v>0</v>
      </c>
      <c r="V18" s="1271">
        <f>'9.Инвестиционна програма'!Y98</f>
        <v>0</v>
      </c>
      <c r="W18" s="1272">
        <f>'9.Инвестиционна програма'!Z98</f>
        <v>0</v>
      </c>
    </row>
    <row r="19" spans="1:23" s="2" customFormat="1" ht="13.5" thickBot="1">
      <c r="A19" s="1277"/>
      <c r="B19" s="1202"/>
      <c r="C19" s="1203"/>
      <c r="D19" s="1203"/>
      <c r="E19" s="1203"/>
      <c r="F19" s="1203"/>
      <c r="G19" s="1203"/>
      <c r="H19" s="1203"/>
      <c r="I19" s="1203"/>
      <c r="J19" s="49"/>
      <c r="K19" s="123"/>
      <c r="L19" s="23"/>
    </row>
    <row r="20" spans="1:23" s="2" customFormat="1" ht="24.75" thickBot="1">
      <c r="A20" s="1295" t="s">
        <v>327</v>
      </c>
      <c r="B20" s="2217" t="s">
        <v>1246</v>
      </c>
      <c r="C20" s="2218">
        <f>C12-C8</f>
        <v>0</v>
      </c>
      <c r="D20" s="2219">
        <f t="shared" ref="D20:W20" si="23">D12-D8</f>
        <v>0</v>
      </c>
      <c r="E20" s="2219">
        <f t="shared" si="23"/>
        <v>0</v>
      </c>
      <c r="F20" s="2219">
        <f t="shared" si="23"/>
        <v>0</v>
      </c>
      <c r="G20" s="2219">
        <f t="shared" si="23"/>
        <v>0</v>
      </c>
      <c r="H20" s="2219">
        <f t="shared" si="23"/>
        <v>0</v>
      </c>
      <c r="I20" s="2220">
        <f t="shared" si="23"/>
        <v>0</v>
      </c>
      <c r="J20" s="2221">
        <f t="shared" si="23"/>
        <v>0</v>
      </c>
      <c r="K20" s="2219">
        <f t="shared" si="23"/>
        <v>0</v>
      </c>
      <c r="L20" s="2219">
        <f t="shared" si="23"/>
        <v>0</v>
      </c>
      <c r="M20" s="2219">
        <f t="shared" si="23"/>
        <v>0</v>
      </c>
      <c r="N20" s="2219">
        <f t="shared" si="23"/>
        <v>0</v>
      </c>
      <c r="O20" s="2219">
        <f t="shared" si="23"/>
        <v>0</v>
      </c>
      <c r="P20" s="2222">
        <f t="shared" si="23"/>
        <v>0</v>
      </c>
      <c r="Q20" s="2218">
        <f t="shared" si="23"/>
        <v>0</v>
      </c>
      <c r="R20" s="2219">
        <f t="shared" si="23"/>
        <v>0</v>
      </c>
      <c r="S20" s="2219">
        <f t="shared" si="23"/>
        <v>0</v>
      </c>
      <c r="T20" s="2219">
        <f t="shared" si="23"/>
        <v>0</v>
      </c>
      <c r="U20" s="2219">
        <f t="shared" si="23"/>
        <v>0</v>
      </c>
      <c r="V20" s="2219">
        <f t="shared" si="23"/>
        <v>0</v>
      </c>
      <c r="W20" s="2220">
        <f t="shared" si="23"/>
        <v>0</v>
      </c>
    </row>
    <row r="21" spans="1:23" s="2" customFormat="1" ht="24.75" thickBot="1">
      <c r="A21" s="1296" t="s">
        <v>328</v>
      </c>
      <c r="B21" s="2223" t="s">
        <v>1306</v>
      </c>
      <c r="C21" s="2224">
        <f>C15+C18-C67*C61-J67*J61</f>
        <v>0</v>
      </c>
      <c r="D21" s="2224">
        <f>D15+D18-D67*D61-K67*K61</f>
        <v>0</v>
      </c>
      <c r="E21" s="2225">
        <f t="shared" ref="E21:I21" si="24">E15+E18-E67*E61-L67*L61</f>
        <v>0</v>
      </c>
      <c r="F21" s="2225">
        <f t="shared" si="24"/>
        <v>0</v>
      </c>
      <c r="G21" s="2225">
        <f t="shared" si="24"/>
        <v>0</v>
      </c>
      <c r="H21" s="2225">
        <f t="shared" si="24"/>
        <v>0</v>
      </c>
      <c r="I21" s="2226">
        <f t="shared" si="24"/>
        <v>0</v>
      </c>
      <c r="J21" s="2224">
        <f>J15+J18-C68*C61-J68*J61</f>
        <v>0</v>
      </c>
      <c r="K21" s="2225">
        <f t="shared" ref="K21:P21" si="25">K15+K18-D68*D61-K68*K61</f>
        <v>0</v>
      </c>
      <c r="L21" s="2225">
        <f t="shared" si="25"/>
        <v>0</v>
      </c>
      <c r="M21" s="2225">
        <f t="shared" si="25"/>
        <v>0</v>
      </c>
      <c r="N21" s="2225">
        <f t="shared" si="25"/>
        <v>0</v>
      </c>
      <c r="O21" s="2225">
        <f t="shared" si="25"/>
        <v>0</v>
      </c>
      <c r="P21" s="2227">
        <f t="shared" si="25"/>
        <v>0</v>
      </c>
      <c r="Q21" s="2228">
        <f>Q15+Q18-C69*C61-J69*J61</f>
        <v>0</v>
      </c>
      <c r="R21" s="2225">
        <f t="shared" ref="R21:W21" si="26">R15+R18-D69*D61-K69*K61</f>
        <v>0</v>
      </c>
      <c r="S21" s="2225">
        <f t="shared" si="26"/>
        <v>0</v>
      </c>
      <c r="T21" s="2225">
        <f t="shared" si="26"/>
        <v>0</v>
      </c>
      <c r="U21" s="2225">
        <f t="shared" si="26"/>
        <v>0</v>
      </c>
      <c r="V21" s="2225">
        <f t="shared" si="26"/>
        <v>0</v>
      </c>
      <c r="W21" s="2227">
        <f t="shared" si="26"/>
        <v>0</v>
      </c>
    </row>
    <row r="22" spans="1:23" s="2" customFormat="1" ht="13.5" thickBot="1">
      <c r="A22" s="1277"/>
      <c r="B22" s="1239"/>
      <c r="C22" s="1240"/>
      <c r="D22" s="1240"/>
      <c r="E22" s="1240"/>
      <c r="F22" s="1240"/>
      <c r="G22" s="1240"/>
      <c r="H22" s="1240"/>
      <c r="I22" s="1240"/>
      <c r="J22" s="1240"/>
      <c r="K22" s="1240"/>
      <c r="L22" s="1240"/>
      <c r="M22" s="1240"/>
      <c r="N22" s="1240"/>
      <c r="O22" s="1240"/>
      <c r="P22" s="1240"/>
      <c r="Q22" s="1240"/>
      <c r="R22" s="1240"/>
      <c r="S22" s="1240"/>
      <c r="T22" s="1240"/>
      <c r="U22" s="1240"/>
      <c r="V22" s="1240"/>
      <c r="W22" s="1240"/>
    </row>
    <row r="23" spans="1:23" s="2" customFormat="1" ht="34.5" customHeight="1" thickBot="1">
      <c r="A23" s="3072">
        <v>4</v>
      </c>
      <c r="B23" s="3073" t="s">
        <v>1267</v>
      </c>
      <c r="C23" s="3074">
        <f>C38*C43+J38*J43+Q38*Q43+C50*C55+J50*J55+C62*C67+J62*J67</f>
        <v>0</v>
      </c>
      <c r="D23" s="3075">
        <f t="shared" ref="D23:I23" si="27">D38*D43+K38*K43+R38*R43+D50*D55+K50*K55+D62*D67+K62*K67</f>
        <v>0</v>
      </c>
      <c r="E23" s="3075">
        <f t="shared" si="27"/>
        <v>0</v>
      </c>
      <c r="F23" s="3075">
        <f t="shared" si="27"/>
        <v>0</v>
      </c>
      <c r="G23" s="3075">
        <f t="shared" si="27"/>
        <v>0</v>
      </c>
      <c r="H23" s="3075">
        <f t="shared" si="27"/>
        <v>0</v>
      </c>
      <c r="I23" s="3076">
        <f t="shared" si="27"/>
        <v>0</v>
      </c>
      <c r="J23" s="3074">
        <f>C38*C44+J38*J44+Q38*Q44+C50*C56+J50*J56+C62*C68+J62*J68</f>
        <v>0</v>
      </c>
      <c r="K23" s="3075">
        <f t="shared" ref="K23:P23" si="28">D38*D44+K38*K44+R38*R44+D50*D56+K50*K56+D62*D68+K62*K68</f>
        <v>0</v>
      </c>
      <c r="L23" s="3075">
        <f t="shared" si="28"/>
        <v>0</v>
      </c>
      <c r="M23" s="3075">
        <f t="shared" si="28"/>
        <v>0</v>
      </c>
      <c r="N23" s="3075">
        <f t="shared" si="28"/>
        <v>0</v>
      </c>
      <c r="O23" s="3075">
        <f t="shared" si="28"/>
        <v>0</v>
      </c>
      <c r="P23" s="3076">
        <f t="shared" si="28"/>
        <v>0</v>
      </c>
      <c r="Q23" s="3074">
        <f>C38*C45+J38*J45+Q38*Q45+C50*C57+J50*J57+C62*C69+J62*J69</f>
        <v>0</v>
      </c>
      <c r="R23" s="3075">
        <f t="shared" ref="R23:W23" si="29">D38*D45+K38*K45+R38*R45+D50*D57+K50*K57+D62*D69+K62*K69</f>
        <v>0</v>
      </c>
      <c r="S23" s="3075">
        <f t="shared" si="29"/>
        <v>0</v>
      </c>
      <c r="T23" s="3075">
        <f t="shared" si="29"/>
        <v>0</v>
      </c>
      <c r="U23" s="3075">
        <f t="shared" si="29"/>
        <v>0</v>
      </c>
      <c r="V23" s="3075">
        <f t="shared" si="29"/>
        <v>0</v>
      </c>
      <c r="W23" s="3077">
        <f t="shared" si="29"/>
        <v>0</v>
      </c>
    </row>
    <row r="24" spans="1:23" s="57" customFormat="1" ht="13.5" thickBot="1">
      <c r="A24" s="1278"/>
      <c r="B24" s="1204"/>
      <c r="C24" s="1205"/>
      <c r="D24" s="1205"/>
      <c r="E24" s="1205"/>
      <c r="F24" s="1205"/>
      <c r="G24" s="1205"/>
      <c r="H24" s="1205"/>
      <c r="I24" s="1205"/>
      <c r="K24" s="1199"/>
      <c r="L24" s="64"/>
    </row>
    <row r="25" spans="1:23" s="57" customFormat="1">
      <c r="A25" s="1280" t="s">
        <v>770</v>
      </c>
      <c r="B25" s="1330" t="s">
        <v>1256</v>
      </c>
      <c r="C25" s="1335">
        <f>'11. Амортиз. план'!E34</f>
        <v>706</v>
      </c>
      <c r="D25" s="1206">
        <f>'11. Амортиз. план'!F34</f>
        <v>785.64251863532127</v>
      </c>
      <c r="E25" s="1206">
        <f>'11. Амортиз. план'!G34</f>
        <v>851.10912115067822</v>
      </c>
      <c r="F25" s="1206">
        <f>'11. Амортиз. план'!H34</f>
        <v>854.08558280886314</v>
      </c>
      <c r="G25" s="1206">
        <f>'11. Амортиз. план'!I34</f>
        <v>848.47531211104001</v>
      </c>
      <c r="H25" s="1206">
        <f>'11. Амортиз. план'!J34</f>
        <v>847.91937649086765</v>
      </c>
      <c r="I25" s="1281">
        <f>'11. Амортиз. план'!K34</f>
        <v>843.08777842955135</v>
      </c>
      <c r="J25" s="1241">
        <f>'11. Амортиз. план'!L34</f>
        <v>67</v>
      </c>
      <c r="K25" s="1206">
        <f>'11. Амортиз. план'!M34</f>
        <v>66.421641341743126</v>
      </c>
      <c r="L25" s="1206">
        <f>'11. Амортиз. план'!N34</f>
        <v>153.40350969458876</v>
      </c>
      <c r="M25" s="1206">
        <f>'11. Амортиз. план'!O34</f>
        <v>241.94580610397446</v>
      </c>
      <c r="N25" s="1206">
        <f>'11. Амортиз. план'!P34</f>
        <v>242.49868404179085</v>
      </c>
      <c r="O25" s="1206">
        <f>'11. Амортиз. план'!Q34</f>
        <v>242.37670868664355</v>
      </c>
      <c r="P25" s="1339">
        <f>'11. Амортиз. план'!R34</f>
        <v>245.31122468266767</v>
      </c>
      <c r="Q25" s="1335">
        <f>'11. Амортиз. план'!S34</f>
        <v>25</v>
      </c>
      <c r="R25" s="1206">
        <f>'11. Амортиз. план'!T34</f>
        <v>33.960840022935784</v>
      </c>
      <c r="S25" s="1206">
        <f>'11. Амортиз. план'!U34</f>
        <v>33.727369154733239</v>
      </c>
      <c r="T25" s="1206">
        <f>'11. Амортиз. план'!V34</f>
        <v>52.558611087162689</v>
      </c>
      <c r="U25" s="1206">
        <f>'11. Амортиз. план'!W34</f>
        <v>72.066003847169341</v>
      </c>
      <c r="V25" s="1206">
        <f>'11. Амортиз. план'!X34</f>
        <v>68.243914822488833</v>
      </c>
      <c r="W25" s="1281">
        <f>'11. Амортиз. план'!Y34</f>
        <v>66.540996887780878</v>
      </c>
    </row>
    <row r="26" spans="1:23" s="57" customFormat="1" ht="31.5" customHeight="1">
      <c r="A26" s="1282" t="s">
        <v>771</v>
      </c>
      <c r="B26" s="1036" t="s">
        <v>1255</v>
      </c>
      <c r="C26" s="1336">
        <f>C25-C14</f>
        <v>82.324645892351327</v>
      </c>
      <c r="D26" s="1284">
        <f>D25-D14</f>
        <v>-703.06118506838243</v>
      </c>
      <c r="E26" s="1284">
        <f t="shared" ref="E26:W26" si="30">E25-E14</f>
        <v>578.40460075376529</v>
      </c>
      <c r="F26" s="1284">
        <f t="shared" si="30"/>
        <v>511.22455129023848</v>
      </c>
      <c r="G26" s="1284">
        <f t="shared" si="30"/>
        <v>471.9625178428721</v>
      </c>
      <c r="H26" s="1284">
        <f t="shared" si="30"/>
        <v>518.75289480385322</v>
      </c>
      <c r="I26" s="1285">
        <f t="shared" si="30"/>
        <v>494.74815578804191</v>
      </c>
      <c r="J26" s="1332">
        <f t="shared" si="30"/>
        <v>66.111614730878188</v>
      </c>
      <c r="K26" s="1284">
        <f t="shared" si="30"/>
        <v>59.112273150021991</v>
      </c>
      <c r="L26" s="1284">
        <f t="shared" si="30"/>
        <v>-1667.6880007795016</v>
      </c>
      <c r="M26" s="1284">
        <f t="shared" si="30"/>
        <v>235.54895796643865</v>
      </c>
      <c r="N26" s="1284">
        <f t="shared" si="30"/>
        <v>225.54883757300888</v>
      </c>
      <c r="O26" s="1284">
        <f t="shared" si="30"/>
        <v>226.12809603403534</v>
      </c>
      <c r="P26" s="1340">
        <f t="shared" si="30"/>
        <v>232.63433789021485</v>
      </c>
      <c r="Q26" s="1336">
        <f t="shared" si="30"/>
        <v>-54.436260623229458</v>
      </c>
      <c r="R26" s="1284">
        <f t="shared" si="30"/>
        <v>-2.6088081639379368E-2</v>
      </c>
      <c r="S26" s="1284">
        <f t="shared" si="30"/>
        <v>8.5234000257365459</v>
      </c>
      <c r="T26" s="1284">
        <f t="shared" si="30"/>
        <v>-432.18350925667687</v>
      </c>
      <c r="U26" s="1284">
        <f t="shared" si="30"/>
        <v>36.528644584119192</v>
      </c>
      <c r="V26" s="1284">
        <f t="shared" si="30"/>
        <v>34.659009162111474</v>
      </c>
      <c r="W26" s="1285">
        <f t="shared" si="30"/>
        <v>28.557506321743148</v>
      </c>
    </row>
    <row r="27" spans="1:23" s="57" customFormat="1" ht="29.25" customHeight="1">
      <c r="A27" s="1282" t="s">
        <v>1271</v>
      </c>
      <c r="B27" s="1331" t="s">
        <v>1257</v>
      </c>
      <c r="C27" s="1337">
        <f>'11. Амортиз. план'!E130</f>
        <v>0</v>
      </c>
      <c r="D27" s="1207">
        <f>'11. Амортиз. план'!F130</f>
        <v>85.890000000000015</v>
      </c>
      <c r="E27" s="1207">
        <f>'11. Амортиз. план'!G130</f>
        <v>151.99</v>
      </c>
      <c r="F27" s="1207">
        <f>'11. Амортиз. план'!H130</f>
        <v>180.93999999999997</v>
      </c>
      <c r="G27" s="1207">
        <f>'11. Амортиз. план'!I130</f>
        <v>208.83999999999997</v>
      </c>
      <c r="H27" s="1207">
        <f>'11. Амортиз. план'!J130</f>
        <v>234.53999999999996</v>
      </c>
      <c r="I27" s="1283">
        <f>'11. Амортиз. план'!K130</f>
        <v>258.03999999999996</v>
      </c>
      <c r="J27" s="1333">
        <f>'11. Амортиз. план'!L130</f>
        <v>0</v>
      </c>
      <c r="K27" s="1333">
        <f>'11. Амортиз. план'!M130</f>
        <v>0.63</v>
      </c>
      <c r="L27" s="1207">
        <f>'11. Амортиз. план'!N130</f>
        <v>1.61</v>
      </c>
      <c r="M27" s="1207">
        <f>'11. Амортиз. план'!O130</f>
        <v>2.42</v>
      </c>
      <c r="N27" s="1207">
        <f>'11. Амортиз. план'!P130</f>
        <v>3.5199999999999996</v>
      </c>
      <c r="O27" s="1207">
        <f>'11. Амортиз. план'!Q130</f>
        <v>4.8500000000000005</v>
      </c>
      <c r="P27" s="1341">
        <f>'11. Амортиз. план'!R130</f>
        <v>5.89</v>
      </c>
      <c r="Q27" s="1337">
        <f>'11. Амортиз. план'!S130</f>
        <v>0</v>
      </c>
      <c r="R27" s="1207">
        <f>'11. Амортиз. план'!T130</f>
        <v>0</v>
      </c>
      <c r="S27" s="1207">
        <f>'11. Амортиз. план'!U130</f>
        <v>0.78</v>
      </c>
      <c r="T27" s="1207">
        <f>'11. Амортиз. план'!V130</f>
        <v>2.2400000000000002</v>
      </c>
      <c r="U27" s="1207">
        <f>'11. Амортиз. план'!W130</f>
        <v>3.84</v>
      </c>
      <c r="V27" s="1207">
        <f>'11. Амортиз. план'!X130</f>
        <v>5.38</v>
      </c>
      <c r="W27" s="1283">
        <f>'11. Амортиз. план'!Y130</f>
        <v>6.82</v>
      </c>
    </row>
    <row r="28" spans="1:23" s="57" customFormat="1" ht="55.5" customHeight="1">
      <c r="A28" s="1282" t="s">
        <v>1272</v>
      </c>
      <c r="B28" s="1036" t="s">
        <v>1258</v>
      </c>
      <c r="C28" s="1338">
        <f>C27-C17-C23</f>
        <v>-1449</v>
      </c>
      <c r="D28" s="1279">
        <f>D27-D17-D23</f>
        <v>-1969.11</v>
      </c>
      <c r="E28" s="1279">
        <f t="shared" ref="E28:W28" si="31">E27-E17-E23</f>
        <v>-608.00999999999988</v>
      </c>
      <c r="F28" s="1279">
        <f>F27-F17-F23</f>
        <v>-544.06000000000006</v>
      </c>
      <c r="G28" s="1279">
        <f t="shared" si="31"/>
        <v>-451.16</v>
      </c>
      <c r="H28" s="1279">
        <f t="shared" si="31"/>
        <v>-435.46000000000004</v>
      </c>
      <c r="I28" s="1286">
        <f t="shared" si="31"/>
        <v>-356.96000000000004</v>
      </c>
      <c r="J28" s="1334">
        <f t="shared" si="31"/>
        <v>-4</v>
      </c>
      <c r="K28" s="1279">
        <f t="shared" si="31"/>
        <v>-54.37</v>
      </c>
      <c r="L28" s="1279">
        <f t="shared" si="31"/>
        <v>-41.39</v>
      </c>
      <c r="M28" s="1279">
        <f t="shared" si="31"/>
        <v>-35.58</v>
      </c>
      <c r="N28" s="1279">
        <f t="shared" si="31"/>
        <v>-68.48</v>
      </c>
      <c r="O28" s="1279">
        <f t="shared" si="31"/>
        <v>-56.15</v>
      </c>
      <c r="P28" s="1342">
        <f t="shared" si="31"/>
        <v>-37.11</v>
      </c>
      <c r="Q28" s="1338">
        <f t="shared" si="31"/>
        <v>0</v>
      </c>
      <c r="R28" s="1279">
        <f t="shared" si="31"/>
        <v>0</v>
      </c>
      <c r="S28" s="1279">
        <f t="shared" si="31"/>
        <v>-38.22</v>
      </c>
      <c r="T28" s="1279">
        <f t="shared" si="31"/>
        <v>-31.760000000000055</v>
      </c>
      <c r="U28" s="1279">
        <f t="shared" si="31"/>
        <v>-42.16</v>
      </c>
      <c r="V28" s="1279">
        <f t="shared" si="31"/>
        <v>-25.62</v>
      </c>
      <c r="W28" s="1286">
        <f t="shared" si="31"/>
        <v>-34.18</v>
      </c>
    </row>
    <row r="29" spans="1:23" s="57" customFormat="1" ht="24.75" thickBot="1">
      <c r="A29" s="2378" t="s">
        <v>1273</v>
      </c>
      <c r="B29" s="2379" t="s">
        <v>1259</v>
      </c>
      <c r="C29" s="2363">
        <f>'11. Амортиз. план'!E213</f>
        <v>774.6</v>
      </c>
      <c r="D29" s="2364">
        <f>'11. Амортиз. план'!F213</f>
        <v>774.6</v>
      </c>
      <c r="E29" s="2364">
        <f>'11. Амортиз. план'!G213</f>
        <v>774.6</v>
      </c>
      <c r="F29" s="2364">
        <f>'11. Амортиз. план'!H213</f>
        <v>773.6</v>
      </c>
      <c r="G29" s="2364">
        <f>'11. Амортиз. план'!I213</f>
        <v>771.6</v>
      </c>
      <c r="H29" s="2364">
        <f>'11. Амортиз. план'!J213</f>
        <v>771.6</v>
      </c>
      <c r="I29" s="2365">
        <f>'11. Амортиз. план'!K213</f>
        <v>757.6</v>
      </c>
      <c r="J29" s="2366">
        <f>'11. Амортиз. план'!L213</f>
        <v>323</v>
      </c>
      <c r="K29" s="2364">
        <f>'11. Амортиз. план'!M213</f>
        <v>323</v>
      </c>
      <c r="L29" s="2364">
        <f>'11. Амортиз. план'!N213</f>
        <v>323</v>
      </c>
      <c r="M29" s="2364">
        <f>'11. Амортиз. план'!O213</f>
        <v>323</v>
      </c>
      <c r="N29" s="2364">
        <f>'11. Амортиз. план'!P213</f>
        <v>323</v>
      </c>
      <c r="O29" s="2364">
        <f>'11. Амортиз. план'!Q213</f>
        <v>323</v>
      </c>
      <c r="P29" s="2367">
        <f>'11. Амортиз. план'!R213</f>
        <v>323</v>
      </c>
      <c r="Q29" s="2363">
        <f>'11. Амортиз. план'!S213</f>
        <v>781.5</v>
      </c>
      <c r="R29" s="2364">
        <f>'11. Амортиз. план'!T213</f>
        <v>781.5</v>
      </c>
      <c r="S29" s="2364">
        <f>'11. Амортиз. план'!U213</f>
        <v>781.5</v>
      </c>
      <c r="T29" s="2364">
        <f>'11. Амортиз. план'!V213</f>
        <v>780.5</v>
      </c>
      <c r="U29" s="2364">
        <f>'11. Амортиз. план'!W213</f>
        <v>780.5</v>
      </c>
      <c r="V29" s="2364">
        <f>'11. Амортиз. план'!X213</f>
        <v>780.5</v>
      </c>
      <c r="W29" s="2365">
        <f>'11. Амортиз. план'!Y213</f>
        <v>780.5</v>
      </c>
    </row>
    <row r="30" spans="1:23" s="57" customFormat="1" ht="54.75" customHeight="1" thickBot="1">
      <c r="A30" s="2380" t="s">
        <v>1274</v>
      </c>
      <c r="B30" s="1329" t="s">
        <v>1496</v>
      </c>
      <c r="C30" s="2368">
        <v>775</v>
      </c>
      <c r="D30" s="2369">
        <v>775</v>
      </c>
      <c r="E30" s="2369">
        <v>806</v>
      </c>
      <c r="F30" s="2369">
        <v>768</v>
      </c>
      <c r="G30" s="2369">
        <v>680</v>
      </c>
      <c r="H30" s="2369">
        <v>683</v>
      </c>
      <c r="I30" s="2371">
        <v>640</v>
      </c>
      <c r="J30" s="2368">
        <v>4</v>
      </c>
      <c r="K30" s="2369">
        <v>54</v>
      </c>
      <c r="L30" s="2369">
        <v>41</v>
      </c>
      <c r="M30" s="2369">
        <v>36</v>
      </c>
      <c r="N30" s="2369">
        <v>68</v>
      </c>
      <c r="O30" s="2369">
        <v>56</v>
      </c>
      <c r="P30" s="2370">
        <v>37</v>
      </c>
      <c r="Q30" s="2372"/>
      <c r="R30" s="2369"/>
      <c r="S30" s="2369">
        <v>38</v>
      </c>
      <c r="T30" s="2369">
        <v>32</v>
      </c>
      <c r="U30" s="2369">
        <v>42</v>
      </c>
      <c r="V30" s="2369">
        <v>26</v>
      </c>
      <c r="W30" s="2370">
        <v>34</v>
      </c>
    </row>
    <row r="31" spans="1:23" s="57" customFormat="1" ht="39.75" customHeight="1" thickBot="1">
      <c r="A31" s="2381" t="s">
        <v>1275</v>
      </c>
      <c r="B31" s="3065" t="s">
        <v>1260</v>
      </c>
      <c r="C31" s="2386">
        <f>IF(C30=0,0,C30/C29)</f>
        <v>1.0005163955589982</v>
      </c>
      <c r="D31" s="2382">
        <f t="shared" ref="D31:W31" si="32">IF(D30=0,0,D30/D29)</f>
        <v>1.0005163955589982</v>
      </c>
      <c r="E31" s="2382">
        <f t="shared" si="32"/>
        <v>1.0405370513813581</v>
      </c>
      <c r="F31" s="2382">
        <f t="shared" si="32"/>
        <v>0.99276111685625645</v>
      </c>
      <c r="G31" s="2382">
        <f t="shared" si="32"/>
        <v>0.88128564022809741</v>
      </c>
      <c r="H31" s="2382">
        <f t="shared" si="32"/>
        <v>0.88517366511145668</v>
      </c>
      <c r="I31" s="2383">
        <f t="shared" si="32"/>
        <v>0.84477296726504747</v>
      </c>
      <c r="J31" s="2384">
        <f t="shared" si="32"/>
        <v>1.238390092879257E-2</v>
      </c>
      <c r="K31" s="2382">
        <f t="shared" si="32"/>
        <v>0.16718266253869968</v>
      </c>
      <c r="L31" s="2382">
        <f t="shared" si="32"/>
        <v>0.12693498452012383</v>
      </c>
      <c r="M31" s="2382">
        <f t="shared" si="32"/>
        <v>0.11145510835913312</v>
      </c>
      <c r="N31" s="2382">
        <f t="shared" si="32"/>
        <v>0.21052631578947367</v>
      </c>
      <c r="O31" s="2382">
        <f t="shared" si="32"/>
        <v>0.17337461300309598</v>
      </c>
      <c r="P31" s="2385">
        <f t="shared" si="32"/>
        <v>0.11455108359133127</v>
      </c>
      <c r="Q31" s="2386">
        <f t="shared" si="32"/>
        <v>0</v>
      </c>
      <c r="R31" s="2382">
        <f t="shared" si="32"/>
        <v>0</v>
      </c>
      <c r="S31" s="2382">
        <f t="shared" si="32"/>
        <v>4.8624440179142678E-2</v>
      </c>
      <c r="T31" s="2382">
        <f t="shared" si="32"/>
        <v>4.0999359385009607E-2</v>
      </c>
      <c r="U31" s="2382">
        <f t="shared" si="32"/>
        <v>5.3811659192825115E-2</v>
      </c>
      <c r="V31" s="2382">
        <f t="shared" si="32"/>
        <v>3.3311979500320305E-2</v>
      </c>
      <c r="W31" s="2382">
        <f t="shared" si="32"/>
        <v>4.356181934657271E-2</v>
      </c>
    </row>
    <row r="32" spans="1:23" s="57" customFormat="1" ht="30" customHeight="1" thickBot="1">
      <c r="A32" s="2380">
        <v>8</v>
      </c>
      <c r="B32" s="3066" t="s">
        <v>1540</v>
      </c>
      <c r="C32" s="3064">
        <f t="shared" ref="C32:H32" si="33">C28+C30</f>
        <v>-674</v>
      </c>
      <c r="D32" s="3060">
        <f t="shared" si="33"/>
        <v>-1194.1099999999999</v>
      </c>
      <c r="E32" s="3060">
        <f t="shared" si="33"/>
        <v>197.99000000000012</v>
      </c>
      <c r="F32" s="3060">
        <f t="shared" si="33"/>
        <v>223.93999999999994</v>
      </c>
      <c r="G32" s="3060">
        <f t="shared" si="33"/>
        <v>228.83999999999997</v>
      </c>
      <c r="H32" s="3060">
        <f t="shared" si="33"/>
        <v>247.53999999999996</v>
      </c>
      <c r="I32" s="3067">
        <f>I28+I30</f>
        <v>283.03999999999996</v>
      </c>
      <c r="J32" s="3064">
        <f t="shared" ref="J32:W32" si="34">J28+J30</f>
        <v>0</v>
      </c>
      <c r="K32" s="3060">
        <f t="shared" si="34"/>
        <v>-0.36999999999999744</v>
      </c>
      <c r="L32" s="3060">
        <f t="shared" si="34"/>
        <v>-0.39000000000000057</v>
      </c>
      <c r="M32" s="3060">
        <f t="shared" si="34"/>
        <v>0.42000000000000171</v>
      </c>
      <c r="N32" s="3060">
        <f t="shared" si="34"/>
        <v>-0.48000000000000398</v>
      </c>
      <c r="O32" s="3060">
        <f t="shared" si="34"/>
        <v>-0.14999999999999858</v>
      </c>
      <c r="P32" s="3067">
        <f t="shared" si="34"/>
        <v>-0.10999999999999943</v>
      </c>
      <c r="Q32" s="3064">
        <f t="shared" si="34"/>
        <v>0</v>
      </c>
      <c r="R32" s="3060">
        <f t="shared" si="34"/>
        <v>0</v>
      </c>
      <c r="S32" s="3060">
        <f t="shared" si="34"/>
        <v>-0.21999999999999886</v>
      </c>
      <c r="T32" s="3060">
        <f t="shared" si="34"/>
        <v>0.23999999999994515</v>
      </c>
      <c r="U32" s="3060">
        <f t="shared" si="34"/>
        <v>-0.15999999999999659</v>
      </c>
      <c r="V32" s="3060">
        <f t="shared" si="34"/>
        <v>0.37999999999999901</v>
      </c>
      <c r="W32" s="3060">
        <f t="shared" si="34"/>
        <v>-0.17999999999999972</v>
      </c>
    </row>
    <row r="33" spans="1:23" s="57" customFormat="1" ht="13.5" thickBot="1">
      <c r="A33" s="1343"/>
      <c r="B33" s="1344"/>
      <c r="C33" s="1344"/>
      <c r="D33" s="1344"/>
      <c r="E33" s="1344"/>
      <c r="F33" s="1344"/>
      <c r="G33" s="1344"/>
      <c r="H33" s="1344"/>
      <c r="I33" s="1344"/>
      <c r="J33" s="1344"/>
      <c r="K33" s="1344"/>
      <c r="L33" s="1344"/>
      <c r="M33" s="1344"/>
      <c r="N33" s="1344"/>
      <c r="O33" s="1344"/>
      <c r="P33" s="1344"/>
      <c r="Q33" s="1344"/>
      <c r="R33" s="1344"/>
      <c r="S33" s="1344"/>
      <c r="T33" s="1344"/>
      <c r="U33" s="1344"/>
      <c r="V33" s="1344"/>
      <c r="W33" s="1345"/>
    </row>
    <row r="34" spans="1:23" s="126" customFormat="1" ht="27" customHeight="1">
      <c r="A34" s="3466">
        <v>9</v>
      </c>
      <c r="B34" s="3473" t="s">
        <v>1252</v>
      </c>
      <c r="C34" s="3460" t="s">
        <v>945</v>
      </c>
      <c r="D34" s="3461"/>
      <c r="E34" s="3461"/>
      <c r="F34" s="3461"/>
      <c r="G34" s="3461"/>
      <c r="H34" s="3461"/>
      <c r="I34" s="3462"/>
      <c r="J34" s="3460" t="s">
        <v>1251</v>
      </c>
      <c r="K34" s="3461"/>
      <c r="L34" s="3461"/>
      <c r="M34" s="3461"/>
      <c r="N34" s="3461"/>
      <c r="O34" s="3461"/>
      <c r="P34" s="3462"/>
      <c r="Q34" s="3463" t="s">
        <v>946</v>
      </c>
      <c r="R34" s="3461"/>
      <c r="S34" s="3461"/>
      <c r="T34" s="3461"/>
      <c r="U34" s="3461"/>
      <c r="V34" s="3461"/>
      <c r="W34" s="3462"/>
    </row>
    <row r="35" spans="1:23" s="2" customFormat="1" ht="13.5" thickBot="1">
      <c r="A35" s="3467"/>
      <c r="B35" s="3474"/>
      <c r="C35" s="2047" t="str">
        <f t="shared" ref="C35:W35" si="35">C7</f>
        <v>2015 г.</v>
      </c>
      <c r="D35" s="2048" t="str">
        <f t="shared" si="35"/>
        <v>2016 г.</v>
      </c>
      <c r="E35" s="2048" t="str">
        <f t="shared" si="35"/>
        <v>2017 г.</v>
      </c>
      <c r="F35" s="2048" t="str">
        <f t="shared" si="35"/>
        <v>2018 г.</v>
      </c>
      <c r="G35" s="2048" t="str">
        <f t="shared" si="35"/>
        <v>2019 г.</v>
      </c>
      <c r="H35" s="2048" t="str">
        <f t="shared" si="35"/>
        <v>2020 г.</v>
      </c>
      <c r="I35" s="2049" t="str">
        <f t="shared" si="35"/>
        <v>2021 г.</v>
      </c>
      <c r="J35" s="2047" t="str">
        <f t="shared" si="35"/>
        <v>2015 г.</v>
      </c>
      <c r="K35" s="2048" t="str">
        <f t="shared" si="35"/>
        <v>2016 г.</v>
      </c>
      <c r="L35" s="2048" t="str">
        <f t="shared" si="35"/>
        <v>2017 г.</v>
      </c>
      <c r="M35" s="2048" t="str">
        <f t="shared" si="35"/>
        <v>2018 г.</v>
      </c>
      <c r="N35" s="2048" t="str">
        <f t="shared" si="35"/>
        <v>2019 г.</v>
      </c>
      <c r="O35" s="2048" t="str">
        <f t="shared" si="35"/>
        <v>2020 г.</v>
      </c>
      <c r="P35" s="2049" t="str">
        <f t="shared" si="35"/>
        <v>2021 г.</v>
      </c>
      <c r="Q35" s="2050" t="str">
        <f t="shared" si="35"/>
        <v>2015 г.</v>
      </c>
      <c r="R35" s="2048" t="str">
        <f t="shared" si="35"/>
        <v>2016 г.</v>
      </c>
      <c r="S35" s="2048" t="str">
        <f t="shared" si="35"/>
        <v>2017 г.</v>
      </c>
      <c r="T35" s="2048" t="str">
        <f t="shared" si="35"/>
        <v>2018 г.</v>
      </c>
      <c r="U35" s="2048" t="str">
        <f t="shared" si="35"/>
        <v>2019 г.</v>
      </c>
      <c r="V35" s="2048" t="str">
        <f t="shared" si="35"/>
        <v>2020 г.</v>
      </c>
      <c r="W35" s="2049" t="str">
        <f t="shared" si="35"/>
        <v>2021 г.</v>
      </c>
    </row>
    <row r="36" spans="1:23" s="2" customFormat="1">
      <c r="A36" s="1291" t="s">
        <v>1276</v>
      </c>
      <c r="B36" s="1287" t="s">
        <v>255</v>
      </c>
      <c r="C36" s="799">
        <v>0</v>
      </c>
      <c r="D36" s="2938">
        <f t="shared" ref="D36" si="36">C42</f>
        <v>0</v>
      </c>
      <c r="E36" s="2936">
        <f t="shared" ref="E36" si="37">D42</f>
        <v>0</v>
      </c>
      <c r="F36" s="2936">
        <f t="shared" ref="F36" si="38">E42</f>
        <v>0</v>
      </c>
      <c r="G36" s="2936">
        <f t="shared" ref="G36" si="39">F42</f>
        <v>0</v>
      </c>
      <c r="H36" s="2936">
        <f t="shared" ref="H36" si="40">G42</f>
        <v>0</v>
      </c>
      <c r="I36" s="2937">
        <f t="shared" ref="I36" si="41">H42</f>
        <v>0</v>
      </c>
      <c r="J36" s="799">
        <v>0</v>
      </c>
      <c r="K36" s="2935">
        <f t="shared" ref="K36" si="42">J42</f>
        <v>0</v>
      </c>
      <c r="L36" s="2936">
        <f t="shared" ref="L36" si="43">K42</f>
        <v>0</v>
      </c>
      <c r="M36" s="2936">
        <f t="shared" ref="M36" si="44">L42</f>
        <v>0</v>
      </c>
      <c r="N36" s="2936">
        <f t="shared" ref="N36" si="45">M42</f>
        <v>0</v>
      </c>
      <c r="O36" s="2936">
        <f t="shared" ref="O36" si="46">N42</f>
        <v>0</v>
      </c>
      <c r="P36" s="2937">
        <f t="shared" ref="P36" si="47">O42</f>
        <v>0</v>
      </c>
      <c r="Q36" s="799">
        <v>0</v>
      </c>
      <c r="R36" s="2935">
        <f t="shared" ref="R36" si="48">Q42</f>
        <v>0</v>
      </c>
      <c r="S36" s="2936">
        <f t="shared" ref="S36" si="49">R42</f>
        <v>0</v>
      </c>
      <c r="T36" s="2936">
        <f t="shared" ref="T36" si="50">S42</f>
        <v>0</v>
      </c>
      <c r="U36" s="2936">
        <f t="shared" ref="U36" si="51">T42</f>
        <v>0</v>
      </c>
      <c r="V36" s="2936">
        <f t="shared" ref="V36" si="52">U42</f>
        <v>0</v>
      </c>
      <c r="W36" s="2937">
        <f t="shared" ref="W36" si="53">V42</f>
        <v>0</v>
      </c>
    </row>
    <row r="37" spans="1:23" s="2" customFormat="1">
      <c r="A37" s="1291" t="s">
        <v>1277</v>
      </c>
      <c r="B37" s="1288" t="s">
        <v>256</v>
      </c>
      <c r="C37" s="781">
        <v>0</v>
      </c>
      <c r="D37" s="782">
        <v>0</v>
      </c>
      <c r="E37" s="782">
        <v>0</v>
      </c>
      <c r="F37" s="782">
        <v>0</v>
      </c>
      <c r="G37" s="782">
        <v>0</v>
      </c>
      <c r="H37" s="782">
        <v>0</v>
      </c>
      <c r="I37" s="791">
        <v>0</v>
      </c>
      <c r="J37" s="781">
        <v>0</v>
      </c>
      <c r="K37" s="782">
        <v>0</v>
      </c>
      <c r="L37" s="782">
        <v>0</v>
      </c>
      <c r="M37" s="782">
        <v>0</v>
      </c>
      <c r="N37" s="782">
        <v>0</v>
      </c>
      <c r="O37" s="782">
        <v>0</v>
      </c>
      <c r="P37" s="791">
        <v>0</v>
      </c>
      <c r="Q37" s="781">
        <v>0</v>
      </c>
      <c r="R37" s="782">
        <v>0</v>
      </c>
      <c r="S37" s="782">
        <v>0</v>
      </c>
      <c r="T37" s="782">
        <v>0</v>
      </c>
      <c r="U37" s="782">
        <v>0</v>
      </c>
      <c r="V37" s="782">
        <v>0</v>
      </c>
      <c r="W37" s="791">
        <v>0</v>
      </c>
    </row>
    <row r="38" spans="1:23" s="2" customFormat="1">
      <c r="A38" s="1292" t="s">
        <v>1278</v>
      </c>
      <c r="B38" s="1288" t="s">
        <v>257</v>
      </c>
      <c r="C38" s="781">
        <v>0</v>
      </c>
      <c r="D38" s="782">
        <v>0</v>
      </c>
      <c r="E38" s="782">
        <v>0</v>
      </c>
      <c r="F38" s="782">
        <v>0</v>
      </c>
      <c r="G38" s="782">
        <v>0</v>
      </c>
      <c r="H38" s="782">
        <v>0</v>
      </c>
      <c r="I38" s="791">
        <v>0</v>
      </c>
      <c r="J38" s="781">
        <v>0</v>
      </c>
      <c r="K38" s="782">
        <v>0</v>
      </c>
      <c r="L38" s="782">
        <v>0</v>
      </c>
      <c r="M38" s="782">
        <v>0</v>
      </c>
      <c r="N38" s="782">
        <v>0</v>
      </c>
      <c r="O38" s="782">
        <v>0</v>
      </c>
      <c r="P38" s="791">
        <v>0</v>
      </c>
      <c r="Q38" s="781">
        <v>0</v>
      </c>
      <c r="R38" s="782">
        <v>0</v>
      </c>
      <c r="S38" s="782">
        <v>0</v>
      </c>
      <c r="T38" s="782">
        <v>0</v>
      </c>
      <c r="U38" s="782">
        <v>0</v>
      </c>
      <c r="V38" s="782">
        <v>0</v>
      </c>
      <c r="W38" s="791">
        <v>0</v>
      </c>
    </row>
    <row r="39" spans="1:23" s="2" customFormat="1">
      <c r="A39" s="1292" t="s">
        <v>1279</v>
      </c>
      <c r="B39" s="1288" t="s">
        <v>258</v>
      </c>
      <c r="C39" s="781">
        <v>0</v>
      </c>
      <c r="D39" s="782">
        <v>0</v>
      </c>
      <c r="E39" s="782">
        <v>0</v>
      </c>
      <c r="F39" s="782">
        <v>0</v>
      </c>
      <c r="G39" s="782">
        <v>0</v>
      </c>
      <c r="H39" s="782">
        <v>0</v>
      </c>
      <c r="I39" s="791">
        <v>0</v>
      </c>
      <c r="J39" s="781">
        <v>0</v>
      </c>
      <c r="K39" s="782">
        <v>0</v>
      </c>
      <c r="L39" s="782">
        <v>0</v>
      </c>
      <c r="M39" s="782">
        <v>0</v>
      </c>
      <c r="N39" s="782">
        <v>0</v>
      </c>
      <c r="O39" s="782">
        <v>0</v>
      </c>
      <c r="P39" s="791">
        <v>0</v>
      </c>
      <c r="Q39" s="781">
        <v>0</v>
      </c>
      <c r="R39" s="782">
        <v>0</v>
      </c>
      <c r="S39" s="782">
        <v>0</v>
      </c>
      <c r="T39" s="782">
        <v>0</v>
      </c>
      <c r="U39" s="782">
        <v>0</v>
      </c>
      <c r="V39" s="782">
        <v>0</v>
      </c>
      <c r="W39" s="791">
        <v>0</v>
      </c>
    </row>
    <row r="40" spans="1:23" s="2" customFormat="1">
      <c r="A40" s="1292" t="s">
        <v>1280</v>
      </c>
      <c r="B40" s="1288" t="s">
        <v>259</v>
      </c>
      <c r="C40" s="2231">
        <f t="shared" ref="C40:I40" si="54">IF(C36=0,0,C39/((C36+C42)/2))</f>
        <v>0</v>
      </c>
      <c r="D40" s="2232">
        <f t="shared" si="54"/>
        <v>0</v>
      </c>
      <c r="E40" s="2232">
        <f t="shared" si="54"/>
        <v>0</v>
      </c>
      <c r="F40" s="2232">
        <f t="shared" si="54"/>
        <v>0</v>
      </c>
      <c r="G40" s="2232">
        <f t="shared" si="54"/>
        <v>0</v>
      </c>
      <c r="H40" s="2232">
        <f t="shared" si="54"/>
        <v>0</v>
      </c>
      <c r="I40" s="2373">
        <f t="shared" si="54"/>
        <v>0</v>
      </c>
      <c r="J40" s="1210">
        <f>IF(J36=0,0,J39/((J36+J42)/2))</f>
        <v>0</v>
      </c>
      <c r="K40" s="1211">
        <f>IF(K36=0,0,K39/((K36+K42)/2))</f>
        <v>0</v>
      </c>
      <c r="L40" s="1211">
        <f t="shared" ref="L40:P40" si="55">IF(L36=0,0,L39/((L36+L42)/2))</f>
        <v>0</v>
      </c>
      <c r="M40" s="1211">
        <f t="shared" si="55"/>
        <v>0</v>
      </c>
      <c r="N40" s="1211">
        <f t="shared" si="55"/>
        <v>0</v>
      </c>
      <c r="O40" s="1211">
        <f t="shared" si="55"/>
        <v>0</v>
      </c>
      <c r="P40" s="1212">
        <f t="shared" si="55"/>
        <v>0</v>
      </c>
      <c r="Q40" s="1210">
        <f>IF(Q36=0,0,Q39/((Q36+Q42)/2))</f>
        <v>0</v>
      </c>
      <c r="R40" s="1211">
        <f>IF(R36=0,0,R39/((R36+R42)/2))</f>
        <v>0</v>
      </c>
      <c r="S40" s="1211">
        <f t="shared" ref="S40" si="56">IF(S36=0,0,S39/((S36+S42)/2))</f>
        <v>0</v>
      </c>
      <c r="T40" s="1211">
        <f t="shared" ref="T40" si="57">IF(T36=0,0,T39/((T36+T42)/2))</f>
        <v>0</v>
      </c>
      <c r="U40" s="1211">
        <f t="shared" ref="U40" si="58">IF(U36=0,0,U39/((U36+U42)/2))</f>
        <v>0</v>
      </c>
      <c r="V40" s="1211">
        <f t="shared" ref="V40" si="59">IF(V36=0,0,V39/((V36+V42)/2))</f>
        <v>0</v>
      </c>
      <c r="W40" s="1212">
        <f t="shared" ref="W40" si="60">IF(W36=0,0,W39/((W36+W42)/2))</f>
        <v>0</v>
      </c>
    </row>
    <row r="41" spans="1:23" s="2" customFormat="1">
      <c r="A41" s="1292" t="s">
        <v>1281</v>
      </c>
      <c r="B41" s="1288" t="s">
        <v>260</v>
      </c>
      <c r="C41" s="1213">
        <f>C38+C39</f>
        <v>0</v>
      </c>
      <c r="D41" s="1214">
        <f t="shared" ref="D41:I41" si="61">D38+D39</f>
        <v>0</v>
      </c>
      <c r="E41" s="1214">
        <f t="shared" si="61"/>
        <v>0</v>
      </c>
      <c r="F41" s="1214">
        <f t="shared" si="61"/>
        <v>0</v>
      </c>
      <c r="G41" s="1214">
        <f t="shared" si="61"/>
        <v>0</v>
      </c>
      <c r="H41" s="1214">
        <f t="shared" si="61"/>
        <v>0</v>
      </c>
      <c r="I41" s="1215">
        <f t="shared" si="61"/>
        <v>0</v>
      </c>
      <c r="J41" s="1213">
        <f>J38+J39</f>
        <v>0</v>
      </c>
      <c r="K41" s="1214">
        <f t="shared" ref="K41:P41" si="62">K38+K39</f>
        <v>0</v>
      </c>
      <c r="L41" s="1214">
        <f t="shared" si="62"/>
        <v>0</v>
      </c>
      <c r="M41" s="1214">
        <f t="shared" si="62"/>
        <v>0</v>
      </c>
      <c r="N41" s="1214">
        <f t="shared" si="62"/>
        <v>0</v>
      </c>
      <c r="O41" s="1214">
        <f t="shared" si="62"/>
        <v>0</v>
      </c>
      <c r="P41" s="1215">
        <f t="shared" si="62"/>
        <v>0</v>
      </c>
      <c r="Q41" s="1213">
        <f>Q38+Q39</f>
        <v>0</v>
      </c>
      <c r="R41" s="1214">
        <f t="shared" ref="R41:W41" si="63">R38+R39</f>
        <v>0</v>
      </c>
      <c r="S41" s="1214">
        <f t="shared" si="63"/>
        <v>0</v>
      </c>
      <c r="T41" s="1214">
        <f t="shared" si="63"/>
        <v>0</v>
      </c>
      <c r="U41" s="1214">
        <f t="shared" si="63"/>
        <v>0</v>
      </c>
      <c r="V41" s="1214">
        <f t="shared" si="63"/>
        <v>0</v>
      </c>
      <c r="W41" s="1215">
        <f t="shared" si="63"/>
        <v>0</v>
      </c>
    </row>
    <row r="42" spans="1:23" s="2" customFormat="1" ht="13.5" thickBot="1">
      <c r="A42" s="1293" t="s">
        <v>1282</v>
      </c>
      <c r="B42" s="1294" t="s">
        <v>261</v>
      </c>
      <c r="C42" s="1216">
        <f>C36+C37-C38</f>
        <v>0</v>
      </c>
      <c r="D42" s="1217">
        <f t="shared" ref="D42:I42" si="64">D36+D37-D38</f>
        <v>0</v>
      </c>
      <c r="E42" s="1217">
        <f t="shared" si="64"/>
        <v>0</v>
      </c>
      <c r="F42" s="1217">
        <f t="shared" si="64"/>
        <v>0</v>
      </c>
      <c r="G42" s="1217">
        <f t="shared" si="64"/>
        <v>0</v>
      </c>
      <c r="H42" s="1217">
        <f t="shared" si="64"/>
        <v>0</v>
      </c>
      <c r="I42" s="1218">
        <f t="shared" si="64"/>
        <v>0</v>
      </c>
      <c r="J42" s="1216">
        <f>J36+J37-J38</f>
        <v>0</v>
      </c>
      <c r="K42" s="1217">
        <f t="shared" ref="K42:P42" si="65">K36+K37-K38</f>
        <v>0</v>
      </c>
      <c r="L42" s="1217">
        <f t="shared" si="65"/>
        <v>0</v>
      </c>
      <c r="M42" s="1217">
        <f t="shared" si="65"/>
        <v>0</v>
      </c>
      <c r="N42" s="1217">
        <f t="shared" si="65"/>
        <v>0</v>
      </c>
      <c r="O42" s="1217">
        <f t="shared" si="65"/>
        <v>0</v>
      </c>
      <c r="P42" s="1218">
        <f t="shared" si="65"/>
        <v>0</v>
      </c>
      <c r="Q42" s="1216">
        <f>Q36+Q37-Q38</f>
        <v>0</v>
      </c>
      <c r="R42" s="1217">
        <f t="shared" ref="R42:W42" si="66">R36+R37-R38</f>
        <v>0</v>
      </c>
      <c r="S42" s="1217">
        <f t="shared" si="66"/>
        <v>0</v>
      </c>
      <c r="T42" s="1217">
        <f t="shared" si="66"/>
        <v>0</v>
      </c>
      <c r="U42" s="1217">
        <f t="shared" si="66"/>
        <v>0</v>
      </c>
      <c r="V42" s="1217">
        <f t="shared" si="66"/>
        <v>0</v>
      </c>
      <c r="W42" s="1218">
        <f t="shared" si="66"/>
        <v>0</v>
      </c>
    </row>
    <row r="43" spans="1:23" s="2" customFormat="1" ht="24">
      <c r="A43" s="2387" t="s">
        <v>1283</v>
      </c>
      <c r="B43" s="1346" t="s">
        <v>1307</v>
      </c>
      <c r="C43" s="3030">
        <v>0</v>
      </c>
      <c r="D43" s="3031">
        <v>0</v>
      </c>
      <c r="E43" s="3031">
        <v>0</v>
      </c>
      <c r="F43" s="3031">
        <v>0</v>
      </c>
      <c r="G43" s="3031">
        <v>0</v>
      </c>
      <c r="H43" s="3031">
        <v>0</v>
      </c>
      <c r="I43" s="3032">
        <v>0</v>
      </c>
      <c r="J43" s="3030">
        <v>0</v>
      </c>
      <c r="K43" s="3031">
        <v>0</v>
      </c>
      <c r="L43" s="3031">
        <v>0</v>
      </c>
      <c r="M43" s="3031">
        <v>0</v>
      </c>
      <c r="N43" s="3031">
        <v>0</v>
      </c>
      <c r="O43" s="3031">
        <v>0</v>
      </c>
      <c r="P43" s="3032">
        <v>0</v>
      </c>
      <c r="Q43" s="3030">
        <v>0</v>
      </c>
      <c r="R43" s="3031">
        <v>0</v>
      </c>
      <c r="S43" s="3031">
        <v>0</v>
      </c>
      <c r="T43" s="3031">
        <v>0</v>
      </c>
      <c r="U43" s="3031">
        <v>0</v>
      </c>
      <c r="V43" s="3031">
        <v>0</v>
      </c>
      <c r="W43" s="3032">
        <v>0</v>
      </c>
    </row>
    <row r="44" spans="1:23" s="2" customFormat="1" ht="24">
      <c r="A44" s="2388" t="s">
        <v>1284</v>
      </c>
      <c r="B44" s="1347" t="s">
        <v>1308</v>
      </c>
      <c r="C44" s="3033">
        <v>0</v>
      </c>
      <c r="D44" s="3034">
        <v>0</v>
      </c>
      <c r="E44" s="3034">
        <v>0</v>
      </c>
      <c r="F44" s="3034">
        <v>0</v>
      </c>
      <c r="G44" s="3034">
        <v>0</v>
      </c>
      <c r="H44" s="3034">
        <v>0</v>
      </c>
      <c r="I44" s="3035">
        <v>0</v>
      </c>
      <c r="J44" s="3033">
        <v>0</v>
      </c>
      <c r="K44" s="3034">
        <v>0</v>
      </c>
      <c r="L44" s="3034">
        <v>0</v>
      </c>
      <c r="M44" s="3034">
        <v>0</v>
      </c>
      <c r="N44" s="3034">
        <v>0</v>
      </c>
      <c r="O44" s="3034">
        <v>0</v>
      </c>
      <c r="P44" s="3035">
        <v>0</v>
      </c>
      <c r="Q44" s="3033">
        <v>0</v>
      </c>
      <c r="R44" s="3034">
        <v>0</v>
      </c>
      <c r="S44" s="3034">
        <v>0</v>
      </c>
      <c r="T44" s="3034">
        <v>0</v>
      </c>
      <c r="U44" s="3034">
        <v>0</v>
      </c>
      <c r="V44" s="3034">
        <v>0</v>
      </c>
      <c r="W44" s="3035">
        <v>0</v>
      </c>
    </row>
    <row r="45" spans="1:23" s="2" customFormat="1" ht="24.75" thickBot="1">
      <c r="A45" s="2389" t="s">
        <v>1285</v>
      </c>
      <c r="B45" s="1348" t="s">
        <v>1309</v>
      </c>
      <c r="C45" s="3036">
        <v>0</v>
      </c>
      <c r="D45" s="3037">
        <v>0</v>
      </c>
      <c r="E45" s="3037">
        <v>0</v>
      </c>
      <c r="F45" s="3037">
        <v>0</v>
      </c>
      <c r="G45" s="3037">
        <v>0</v>
      </c>
      <c r="H45" s="3037">
        <v>0</v>
      </c>
      <c r="I45" s="3038">
        <v>0</v>
      </c>
      <c r="J45" s="3036">
        <v>0</v>
      </c>
      <c r="K45" s="3037">
        <v>0</v>
      </c>
      <c r="L45" s="3037">
        <v>0</v>
      </c>
      <c r="M45" s="3037">
        <v>0</v>
      </c>
      <c r="N45" s="3037">
        <v>0</v>
      </c>
      <c r="O45" s="3037">
        <v>0</v>
      </c>
      <c r="P45" s="3038">
        <v>0</v>
      </c>
      <c r="Q45" s="3036">
        <v>0</v>
      </c>
      <c r="R45" s="3037">
        <v>0</v>
      </c>
      <c r="S45" s="3037">
        <v>0</v>
      </c>
      <c r="T45" s="3037">
        <v>0</v>
      </c>
      <c r="U45" s="3037">
        <v>0</v>
      </c>
      <c r="V45" s="3037">
        <v>0</v>
      </c>
      <c r="W45" s="3038">
        <v>0</v>
      </c>
    </row>
    <row r="46" spans="1:23" s="2" customFormat="1" ht="24" customHeight="1">
      <c r="A46" s="3478">
        <v>10</v>
      </c>
      <c r="B46" s="3485" t="s">
        <v>1253</v>
      </c>
      <c r="C46" s="3482" t="s">
        <v>1494</v>
      </c>
      <c r="D46" s="3483"/>
      <c r="E46" s="3483"/>
      <c r="F46" s="3483"/>
      <c r="G46" s="3483"/>
      <c r="H46" s="3483"/>
      <c r="I46" s="3484"/>
      <c r="J46" s="3488" t="s">
        <v>1495</v>
      </c>
      <c r="K46" s="3489"/>
      <c r="L46" s="3489"/>
      <c r="M46" s="3489"/>
      <c r="N46" s="3489"/>
      <c r="O46" s="3489"/>
      <c r="P46" s="3490"/>
      <c r="Q46" s="1235"/>
      <c r="R46" s="1235"/>
      <c r="S46" s="1235"/>
      <c r="T46" s="1235"/>
      <c r="U46" s="1235"/>
      <c r="V46" s="1235"/>
      <c r="W46" s="1235"/>
    </row>
    <row r="47" spans="1:23" s="2" customFormat="1" ht="13.5" thickBot="1">
      <c r="A47" s="3467"/>
      <c r="B47" s="3486"/>
      <c r="C47" s="2374" t="str">
        <f>C35</f>
        <v>2015 г.</v>
      </c>
      <c r="D47" s="2375" t="str">
        <f t="shared" ref="D47:P47" si="67">D35</f>
        <v>2016 г.</v>
      </c>
      <c r="E47" s="2375" t="str">
        <f t="shared" si="67"/>
        <v>2017 г.</v>
      </c>
      <c r="F47" s="2375" t="str">
        <f t="shared" si="67"/>
        <v>2018 г.</v>
      </c>
      <c r="G47" s="2375" t="str">
        <f t="shared" si="67"/>
        <v>2019 г.</v>
      </c>
      <c r="H47" s="2375" t="str">
        <f t="shared" si="67"/>
        <v>2020 г.</v>
      </c>
      <c r="I47" s="2376" t="str">
        <f t="shared" si="67"/>
        <v>2021 г.</v>
      </c>
      <c r="J47" s="2051" t="str">
        <f>J35</f>
        <v>2015 г.</v>
      </c>
      <c r="K47" s="2052" t="str">
        <f t="shared" si="67"/>
        <v>2016 г.</v>
      </c>
      <c r="L47" s="2052" t="str">
        <f t="shared" si="67"/>
        <v>2017 г.</v>
      </c>
      <c r="M47" s="2052" t="str">
        <f t="shared" si="67"/>
        <v>2018 г.</v>
      </c>
      <c r="N47" s="2052" t="str">
        <f t="shared" si="67"/>
        <v>2019 г.</v>
      </c>
      <c r="O47" s="2052" t="str">
        <f t="shared" si="67"/>
        <v>2020 г.</v>
      </c>
      <c r="P47" s="2053" t="str">
        <f t="shared" si="67"/>
        <v>2021 г.</v>
      </c>
    </row>
    <row r="48" spans="1:23" s="2" customFormat="1">
      <c r="A48" s="1291" t="s">
        <v>1286</v>
      </c>
      <c r="B48" s="1800" t="s">
        <v>255</v>
      </c>
      <c r="C48" s="799">
        <v>0</v>
      </c>
      <c r="D48" s="2935">
        <f t="shared" ref="D48:I48" si="68">C54</f>
        <v>0</v>
      </c>
      <c r="E48" s="2936">
        <f t="shared" si="68"/>
        <v>0</v>
      </c>
      <c r="F48" s="2936">
        <f t="shared" si="68"/>
        <v>0</v>
      </c>
      <c r="G48" s="2936">
        <f t="shared" si="68"/>
        <v>0</v>
      </c>
      <c r="H48" s="2936">
        <f t="shared" si="68"/>
        <v>0</v>
      </c>
      <c r="I48" s="2937">
        <f t="shared" si="68"/>
        <v>0</v>
      </c>
      <c r="J48" s="799">
        <v>0</v>
      </c>
      <c r="K48" s="2935">
        <f t="shared" ref="K48" si="69">J54</f>
        <v>0</v>
      </c>
      <c r="L48" s="2936">
        <f t="shared" ref="L48" si="70">K54</f>
        <v>0</v>
      </c>
      <c r="M48" s="2936">
        <f t="shared" ref="M48" si="71">L54</f>
        <v>0</v>
      </c>
      <c r="N48" s="2936">
        <f t="shared" ref="N48" si="72">M54</f>
        <v>0</v>
      </c>
      <c r="O48" s="2936">
        <f t="shared" ref="O48" si="73">N54</f>
        <v>0</v>
      </c>
      <c r="P48" s="2937">
        <f t="shared" ref="P48" si="74">O54</f>
        <v>0</v>
      </c>
    </row>
    <row r="49" spans="1:16" s="2" customFormat="1">
      <c r="A49" s="1291" t="s">
        <v>1287</v>
      </c>
      <c r="B49" s="1801" t="s">
        <v>256</v>
      </c>
      <c r="C49" s="781">
        <v>0</v>
      </c>
      <c r="D49" s="782">
        <v>0</v>
      </c>
      <c r="E49" s="782">
        <v>0</v>
      </c>
      <c r="F49" s="782">
        <v>0</v>
      </c>
      <c r="G49" s="782">
        <v>0</v>
      </c>
      <c r="H49" s="782">
        <v>0</v>
      </c>
      <c r="I49" s="791">
        <v>0</v>
      </c>
      <c r="J49" s="781">
        <v>0</v>
      </c>
      <c r="K49" s="782">
        <v>0</v>
      </c>
      <c r="L49" s="782">
        <v>0</v>
      </c>
      <c r="M49" s="782">
        <v>0</v>
      </c>
      <c r="N49" s="782">
        <v>0</v>
      </c>
      <c r="O49" s="782">
        <v>0</v>
      </c>
      <c r="P49" s="791">
        <v>0</v>
      </c>
    </row>
    <row r="50" spans="1:16" s="2" customFormat="1">
      <c r="A50" s="1292" t="s">
        <v>1288</v>
      </c>
      <c r="B50" s="1801" t="s">
        <v>257</v>
      </c>
      <c r="C50" s="781">
        <v>0</v>
      </c>
      <c r="D50" s="782">
        <v>0</v>
      </c>
      <c r="E50" s="782">
        <v>0</v>
      </c>
      <c r="F50" s="782">
        <v>0</v>
      </c>
      <c r="G50" s="782">
        <v>0</v>
      </c>
      <c r="H50" s="782">
        <v>0</v>
      </c>
      <c r="I50" s="791">
        <v>0</v>
      </c>
      <c r="J50" s="781">
        <v>0</v>
      </c>
      <c r="K50" s="782">
        <v>0</v>
      </c>
      <c r="L50" s="782">
        <v>0</v>
      </c>
      <c r="M50" s="782">
        <v>0</v>
      </c>
      <c r="N50" s="782">
        <v>0</v>
      </c>
      <c r="O50" s="782">
        <v>0</v>
      </c>
      <c r="P50" s="791">
        <v>0</v>
      </c>
    </row>
    <row r="51" spans="1:16" s="2" customFormat="1">
      <c r="A51" s="1292" t="s">
        <v>1289</v>
      </c>
      <c r="B51" s="1801" t="s">
        <v>258</v>
      </c>
      <c r="C51" s="781">
        <v>0</v>
      </c>
      <c r="D51" s="782">
        <v>0</v>
      </c>
      <c r="E51" s="782">
        <v>0</v>
      </c>
      <c r="F51" s="782">
        <v>0</v>
      </c>
      <c r="G51" s="782">
        <v>0</v>
      </c>
      <c r="H51" s="782">
        <v>0</v>
      </c>
      <c r="I51" s="791">
        <v>0</v>
      </c>
      <c r="J51" s="781">
        <v>0</v>
      </c>
      <c r="K51" s="782">
        <v>0</v>
      </c>
      <c r="L51" s="782">
        <v>0</v>
      </c>
      <c r="M51" s="782">
        <v>0</v>
      </c>
      <c r="N51" s="782">
        <v>0</v>
      </c>
      <c r="O51" s="782">
        <v>0</v>
      </c>
      <c r="P51" s="791">
        <v>0</v>
      </c>
    </row>
    <row r="52" spans="1:16" s="2" customFormat="1">
      <c r="A52" s="1292" t="s">
        <v>1290</v>
      </c>
      <c r="B52" s="1801" t="s">
        <v>259</v>
      </c>
      <c r="C52" s="1210">
        <f>IF(C48=0,0,C51/((C48+C54)/2))</f>
        <v>0</v>
      </c>
      <c r="D52" s="1211">
        <f>IF(D48=0,0,D51/((D48+D54)/2))</f>
        <v>0</v>
      </c>
      <c r="E52" s="1211">
        <f t="shared" ref="E52" si="75">IF(E48=0,0,E51/((E48+E54)/2))</f>
        <v>0</v>
      </c>
      <c r="F52" s="1211">
        <f t="shared" ref="F52" si="76">IF(F48=0,0,F51/((F48+F54)/2))</f>
        <v>0</v>
      </c>
      <c r="G52" s="1211">
        <f t="shared" ref="G52" si="77">IF(G48=0,0,G51/((G48+G54)/2))</f>
        <v>0</v>
      </c>
      <c r="H52" s="1211">
        <f t="shared" ref="H52" si="78">IF(H48=0,0,H51/((H48+H54)/2))</f>
        <v>0</v>
      </c>
      <c r="I52" s="1212">
        <f t="shared" ref="I52" si="79">IF(I48=0,0,I51/((I48+I54)/2))</f>
        <v>0</v>
      </c>
      <c r="J52" s="1254">
        <f>IF(J48=0,0,J51/((J48+J54)/2))</f>
        <v>0</v>
      </c>
      <c r="K52" s="1211">
        <f>IF(K48=0,0,K51/((K48+K54)/2))</f>
        <v>0</v>
      </c>
      <c r="L52" s="1211">
        <f t="shared" ref="L52" si="80">IF(L48=0,0,L51/((L48+L54)/2))</f>
        <v>0</v>
      </c>
      <c r="M52" s="1211">
        <f t="shared" ref="M52" si="81">IF(M48=0,0,M51/((M48+M54)/2))</f>
        <v>0</v>
      </c>
      <c r="N52" s="1211">
        <f t="shared" ref="N52" si="82">IF(N48=0,0,N51/((N48+N54)/2))</f>
        <v>0</v>
      </c>
      <c r="O52" s="1211">
        <f t="shared" ref="O52" si="83">IF(O48=0,0,O51/((O48+O54)/2))</f>
        <v>0</v>
      </c>
      <c r="P52" s="1212">
        <f t="shared" ref="P52" si="84">IF(P48=0,0,P51/((P48+P54)/2))</f>
        <v>0</v>
      </c>
    </row>
    <row r="53" spans="1:16" s="2" customFormat="1">
      <c r="A53" s="1292" t="s">
        <v>1291</v>
      </c>
      <c r="B53" s="1801" t="s">
        <v>260</v>
      </c>
      <c r="C53" s="1213">
        <f>C50+C51</f>
        <v>0</v>
      </c>
      <c r="D53" s="1214">
        <f t="shared" ref="D53:I53" si="85">D50+D51</f>
        <v>0</v>
      </c>
      <c r="E53" s="1214">
        <f t="shared" si="85"/>
        <v>0</v>
      </c>
      <c r="F53" s="1214">
        <f t="shared" si="85"/>
        <v>0</v>
      </c>
      <c r="G53" s="1214">
        <f t="shared" si="85"/>
        <v>0</v>
      </c>
      <c r="H53" s="1214">
        <f t="shared" si="85"/>
        <v>0</v>
      </c>
      <c r="I53" s="1215">
        <f t="shared" si="85"/>
        <v>0</v>
      </c>
      <c r="J53" s="1255">
        <f>J50+J51</f>
        <v>0</v>
      </c>
      <c r="K53" s="1214">
        <f t="shared" ref="K53:P53" si="86">K50+K51</f>
        <v>0</v>
      </c>
      <c r="L53" s="1214">
        <f t="shared" si="86"/>
        <v>0</v>
      </c>
      <c r="M53" s="1214">
        <f t="shared" si="86"/>
        <v>0</v>
      </c>
      <c r="N53" s="1214">
        <f t="shared" si="86"/>
        <v>0</v>
      </c>
      <c r="O53" s="1214">
        <f t="shared" si="86"/>
        <v>0</v>
      </c>
      <c r="P53" s="1215">
        <f t="shared" si="86"/>
        <v>0</v>
      </c>
    </row>
    <row r="54" spans="1:16" s="2" customFormat="1" ht="13.5" thickBot="1">
      <c r="A54" s="1361" t="s">
        <v>1292</v>
      </c>
      <c r="B54" s="1802" t="s">
        <v>261</v>
      </c>
      <c r="C54" s="1220">
        <f>C48+C49-C50</f>
        <v>0</v>
      </c>
      <c r="D54" s="1221">
        <f t="shared" ref="D54:I54" si="87">D48+D49-D50</f>
        <v>0</v>
      </c>
      <c r="E54" s="1221">
        <f t="shared" si="87"/>
        <v>0</v>
      </c>
      <c r="F54" s="1221">
        <f t="shared" si="87"/>
        <v>0</v>
      </c>
      <c r="G54" s="1221">
        <f t="shared" si="87"/>
        <v>0</v>
      </c>
      <c r="H54" s="1221">
        <f t="shared" si="87"/>
        <v>0</v>
      </c>
      <c r="I54" s="1222">
        <f t="shared" si="87"/>
        <v>0</v>
      </c>
      <c r="J54" s="2377">
        <f>J48+J49-J50</f>
        <v>0</v>
      </c>
      <c r="K54" s="1221">
        <f t="shared" ref="K54:P54" si="88">K48+K49-K50</f>
        <v>0</v>
      </c>
      <c r="L54" s="1221">
        <f t="shared" si="88"/>
        <v>0</v>
      </c>
      <c r="M54" s="1221">
        <f t="shared" si="88"/>
        <v>0</v>
      </c>
      <c r="N54" s="1221">
        <f t="shared" si="88"/>
        <v>0</v>
      </c>
      <c r="O54" s="1221">
        <f t="shared" si="88"/>
        <v>0</v>
      </c>
      <c r="P54" s="1222">
        <f t="shared" si="88"/>
        <v>0</v>
      </c>
    </row>
    <row r="55" spans="1:16" s="2" customFormat="1" ht="24">
      <c r="A55" s="2387" t="s">
        <v>1293</v>
      </c>
      <c r="B55" s="1362" t="s">
        <v>1307</v>
      </c>
      <c r="C55" s="3033">
        <v>0</v>
      </c>
      <c r="D55" s="3034">
        <v>0</v>
      </c>
      <c r="E55" s="3034">
        <v>0</v>
      </c>
      <c r="F55" s="3034">
        <v>0</v>
      </c>
      <c r="G55" s="3034">
        <v>0</v>
      </c>
      <c r="H55" s="3034">
        <v>0</v>
      </c>
      <c r="I55" s="3035">
        <v>0</v>
      </c>
      <c r="J55" s="3030">
        <v>0</v>
      </c>
      <c r="K55" s="3031">
        <v>0</v>
      </c>
      <c r="L55" s="3031">
        <v>0</v>
      </c>
      <c r="M55" s="3031">
        <v>0</v>
      </c>
      <c r="N55" s="3031">
        <v>0</v>
      </c>
      <c r="O55" s="3031">
        <v>0</v>
      </c>
      <c r="P55" s="3032">
        <v>0</v>
      </c>
    </row>
    <row r="56" spans="1:16" s="2" customFormat="1" ht="24">
      <c r="A56" s="2388" t="s">
        <v>1294</v>
      </c>
      <c r="B56" s="1289" t="s">
        <v>1308</v>
      </c>
      <c r="C56" s="3033">
        <v>0</v>
      </c>
      <c r="D56" s="3034">
        <v>0</v>
      </c>
      <c r="E56" s="3034">
        <v>0</v>
      </c>
      <c r="F56" s="3034">
        <v>0</v>
      </c>
      <c r="G56" s="3034">
        <v>0</v>
      </c>
      <c r="H56" s="3034">
        <v>0</v>
      </c>
      <c r="I56" s="3035">
        <v>0</v>
      </c>
      <c r="J56" s="3033">
        <v>0</v>
      </c>
      <c r="K56" s="3034">
        <v>0</v>
      </c>
      <c r="L56" s="3034">
        <v>0</v>
      </c>
      <c r="M56" s="3034">
        <v>0</v>
      </c>
      <c r="N56" s="3034">
        <v>0</v>
      </c>
      <c r="O56" s="3034">
        <v>0</v>
      </c>
      <c r="P56" s="3035">
        <v>0</v>
      </c>
    </row>
    <row r="57" spans="1:16" s="2" customFormat="1" ht="24.75" thickBot="1">
      <c r="A57" s="2389" t="s">
        <v>1295</v>
      </c>
      <c r="B57" s="1290" t="s">
        <v>1309</v>
      </c>
      <c r="C57" s="3033">
        <v>0</v>
      </c>
      <c r="D57" s="3034">
        <v>0</v>
      </c>
      <c r="E57" s="3034">
        <v>0</v>
      </c>
      <c r="F57" s="3034">
        <v>0</v>
      </c>
      <c r="G57" s="3034">
        <v>0</v>
      </c>
      <c r="H57" s="3034">
        <v>0</v>
      </c>
      <c r="I57" s="3035">
        <v>0</v>
      </c>
      <c r="J57" s="3036">
        <v>0</v>
      </c>
      <c r="K57" s="3037">
        <v>0</v>
      </c>
      <c r="L57" s="3037">
        <v>0</v>
      </c>
      <c r="M57" s="3037">
        <v>0</v>
      </c>
      <c r="N57" s="3037">
        <v>0</v>
      </c>
      <c r="O57" s="3037">
        <v>0</v>
      </c>
      <c r="P57" s="3038">
        <v>0</v>
      </c>
    </row>
    <row r="58" spans="1:16" s="2" customFormat="1" ht="13.5" customHeight="1">
      <c r="A58" s="3478">
        <v>11</v>
      </c>
      <c r="B58" s="3480" t="s">
        <v>1254</v>
      </c>
      <c r="C58" s="3482" t="s">
        <v>1547</v>
      </c>
      <c r="D58" s="3483"/>
      <c r="E58" s="3483"/>
      <c r="F58" s="3483"/>
      <c r="G58" s="3483"/>
      <c r="H58" s="3483"/>
      <c r="I58" s="3484"/>
      <c r="J58" s="3482" t="s">
        <v>1548</v>
      </c>
      <c r="K58" s="3483"/>
      <c r="L58" s="3483"/>
      <c r="M58" s="3483"/>
      <c r="N58" s="3483"/>
      <c r="O58" s="3483"/>
      <c r="P58" s="3484"/>
    </row>
    <row r="59" spans="1:16" s="2" customFormat="1" ht="13.5" thickBot="1">
      <c r="A59" s="3467"/>
      <c r="B59" s="3481"/>
      <c r="C59" s="1238" t="str">
        <f t="shared" ref="C59:P59" si="89">C7</f>
        <v>2015 г.</v>
      </c>
      <c r="D59" s="1236" t="str">
        <f t="shared" si="89"/>
        <v>2016 г.</v>
      </c>
      <c r="E59" s="1236" t="str">
        <f t="shared" si="89"/>
        <v>2017 г.</v>
      </c>
      <c r="F59" s="1236" t="str">
        <f t="shared" si="89"/>
        <v>2018 г.</v>
      </c>
      <c r="G59" s="1236" t="str">
        <f t="shared" si="89"/>
        <v>2019 г.</v>
      </c>
      <c r="H59" s="1236" t="str">
        <f t="shared" si="89"/>
        <v>2020 г.</v>
      </c>
      <c r="I59" s="1237" t="str">
        <f t="shared" si="89"/>
        <v>2021 г.</v>
      </c>
      <c r="J59" s="1238" t="str">
        <f t="shared" si="89"/>
        <v>2015 г.</v>
      </c>
      <c r="K59" s="1236" t="str">
        <f t="shared" si="89"/>
        <v>2016 г.</v>
      </c>
      <c r="L59" s="1236" t="str">
        <f t="shared" si="89"/>
        <v>2017 г.</v>
      </c>
      <c r="M59" s="1236" t="str">
        <f t="shared" si="89"/>
        <v>2018 г.</v>
      </c>
      <c r="N59" s="1236" t="str">
        <f t="shared" si="89"/>
        <v>2019 г.</v>
      </c>
      <c r="O59" s="1236" t="str">
        <f t="shared" si="89"/>
        <v>2020 г.</v>
      </c>
      <c r="P59" s="1237" t="str">
        <f t="shared" si="89"/>
        <v>2021 г.</v>
      </c>
    </row>
    <row r="60" spans="1:16" s="2" customFormat="1">
      <c r="A60" s="1291" t="s">
        <v>1296</v>
      </c>
      <c r="B60" s="1208" t="s">
        <v>255</v>
      </c>
      <c r="C60" s="3081"/>
      <c r="D60" s="2939">
        <f t="shared" ref="D60" si="90">C66</f>
        <v>0</v>
      </c>
      <c r="E60" s="2940">
        <f t="shared" ref="E60" si="91">D66</f>
        <v>0</v>
      </c>
      <c r="F60" s="2940">
        <f t="shared" ref="F60" si="92">E66</f>
        <v>0</v>
      </c>
      <c r="G60" s="2940">
        <f t="shared" ref="G60" si="93">F66</f>
        <v>0</v>
      </c>
      <c r="H60" s="2940">
        <f t="shared" ref="H60" si="94">G66</f>
        <v>0</v>
      </c>
      <c r="I60" s="2941">
        <f t="shared" ref="I60" si="95">H66</f>
        <v>0</v>
      </c>
      <c r="J60" s="3081"/>
      <c r="K60" s="2939">
        <f t="shared" ref="K60" si="96">J66</f>
        <v>0</v>
      </c>
      <c r="L60" s="2940">
        <f t="shared" ref="L60" si="97">K66</f>
        <v>0</v>
      </c>
      <c r="M60" s="2940">
        <f t="shared" ref="M60" si="98">L66</f>
        <v>0</v>
      </c>
      <c r="N60" s="2940">
        <f t="shared" ref="N60" si="99">M66</f>
        <v>0</v>
      </c>
      <c r="O60" s="2940">
        <f t="shared" ref="O60" si="100">N66</f>
        <v>0</v>
      </c>
      <c r="P60" s="2941">
        <f t="shared" ref="P60" si="101">O66</f>
        <v>0</v>
      </c>
    </row>
    <row r="61" spans="1:16" s="2" customFormat="1">
      <c r="A61" s="1291" t="s">
        <v>1297</v>
      </c>
      <c r="B61" s="1209" t="s">
        <v>256</v>
      </c>
      <c r="C61" s="3080"/>
      <c r="D61" s="782">
        <v>0</v>
      </c>
      <c r="E61" s="782">
        <v>0</v>
      </c>
      <c r="F61" s="782">
        <v>0</v>
      </c>
      <c r="G61" s="782">
        <v>0</v>
      </c>
      <c r="H61" s="782">
        <v>0</v>
      </c>
      <c r="I61" s="791">
        <v>0</v>
      </c>
      <c r="J61" s="3080"/>
      <c r="K61" s="782">
        <v>0</v>
      </c>
      <c r="L61" s="782">
        <v>0</v>
      </c>
      <c r="M61" s="782">
        <v>0</v>
      </c>
      <c r="N61" s="782">
        <v>0</v>
      </c>
      <c r="O61" s="782">
        <v>0</v>
      </c>
      <c r="P61" s="791">
        <v>0</v>
      </c>
    </row>
    <row r="62" spans="1:16" s="2" customFormat="1">
      <c r="A62" s="1292" t="s">
        <v>1298</v>
      </c>
      <c r="B62" s="1209" t="s">
        <v>257</v>
      </c>
      <c r="C62" s="3080"/>
      <c r="D62" s="782">
        <v>0</v>
      </c>
      <c r="E62" s="782">
        <v>0</v>
      </c>
      <c r="F62" s="782">
        <v>0</v>
      </c>
      <c r="G62" s="782">
        <v>0</v>
      </c>
      <c r="H62" s="782">
        <v>0</v>
      </c>
      <c r="I62" s="791">
        <v>0</v>
      </c>
      <c r="J62" s="3080"/>
      <c r="K62" s="782">
        <v>0</v>
      </c>
      <c r="L62" s="782">
        <v>0</v>
      </c>
      <c r="M62" s="782">
        <v>0</v>
      </c>
      <c r="N62" s="782">
        <v>0</v>
      </c>
      <c r="O62" s="782">
        <v>0</v>
      </c>
      <c r="P62" s="791">
        <v>0</v>
      </c>
    </row>
    <row r="63" spans="1:16" s="2" customFormat="1">
      <c r="A63" s="1292" t="s">
        <v>1299</v>
      </c>
      <c r="B63" s="1209" t="s">
        <v>258</v>
      </c>
      <c r="C63" s="3080"/>
      <c r="D63" s="782">
        <v>0</v>
      </c>
      <c r="E63" s="782">
        <v>0</v>
      </c>
      <c r="F63" s="782">
        <v>0</v>
      </c>
      <c r="G63" s="782">
        <v>0</v>
      </c>
      <c r="H63" s="782">
        <v>0</v>
      </c>
      <c r="I63" s="791">
        <v>0</v>
      </c>
      <c r="J63" s="3080"/>
      <c r="K63" s="782">
        <v>0</v>
      </c>
      <c r="L63" s="782">
        <v>0</v>
      </c>
      <c r="M63" s="782">
        <v>0</v>
      </c>
      <c r="N63" s="782">
        <v>0</v>
      </c>
      <c r="O63" s="782">
        <v>0</v>
      </c>
      <c r="P63" s="791">
        <v>0</v>
      </c>
    </row>
    <row r="64" spans="1:16" s="2" customFormat="1">
      <c r="A64" s="1292" t="s">
        <v>1300</v>
      </c>
      <c r="B64" s="1209" t="s">
        <v>259</v>
      </c>
      <c r="C64" s="3082">
        <f>IF(AND(C60=0,C61=0),0,C63/((C60+C61+C66)/2))</f>
        <v>0</v>
      </c>
      <c r="D64" s="3078">
        <f>IF(AND(D60=0,D61=0),0,D63/((D60+D61+D66)/2))</f>
        <v>0</v>
      </c>
      <c r="E64" s="3078">
        <f t="shared" ref="E64" si="102">IF(AND(E60=0,E61=0),0,E63/((E60+E61+E66)/2))</f>
        <v>0</v>
      </c>
      <c r="F64" s="3078">
        <f t="shared" ref="F64" si="103">IF(AND(F60=0,F61=0),0,F63/((F60+F61+F66)/2))</f>
        <v>0</v>
      </c>
      <c r="G64" s="3078">
        <f t="shared" ref="G64" si="104">IF(AND(G60=0,G61=0),0,G63/((G60+G61+G66)/2))</f>
        <v>0</v>
      </c>
      <c r="H64" s="3078">
        <f t="shared" ref="H64" si="105">IF(AND(H60=0,H61=0),0,H63/((H60+H61+H66)/2))</f>
        <v>0</v>
      </c>
      <c r="I64" s="3079">
        <f t="shared" ref="I64" si="106">IF(AND(I60=0,I61=0),0,I63/((I60+I61+I66)/2))</f>
        <v>0</v>
      </c>
      <c r="J64" s="3082">
        <f t="shared" ref="J64" si="107">IF(AND(J60=0,J61=0),0,J63/((J60+J61+J66)/2))</f>
        <v>0</v>
      </c>
      <c r="K64" s="3078">
        <f t="shared" ref="K64" si="108">IF(AND(K60=0,K61=0),0,K63/((K60+K61+K66)/2))</f>
        <v>0</v>
      </c>
      <c r="L64" s="3078">
        <f t="shared" ref="L64" si="109">IF(AND(L60=0,L61=0),0,L63/((L60+L61+L66)/2))</f>
        <v>0</v>
      </c>
      <c r="M64" s="3078">
        <f t="shared" ref="M64" si="110">IF(AND(M60=0,M61=0),0,M63/((M60+M61+M66)/2))</f>
        <v>0</v>
      </c>
      <c r="N64" s="3078">
        <f t="shared" ref="N64" si="111">IF(AND(N60=0,N61=0),0,N63/((N60+N61+N66)/2))</f>
        <v>0</v>
      </c>
      <c r="O64" s="3078">
        <f t="shared" ref="O64" si="112">IF(AND(O60=0,O61=0),0,O63/((O60+O61+O66)/2))</f>
        <v>0</v>
      </c>
      <c r="P64" s="3079">
        <f t="shared" ref="P64" si="113">IF(AND(P60=0,P61=0),0,P63/((P60+P61+P66)/2))</f>
        <v>0</v>
      </c>
    </row>
    <row r="65" spans="1:16" s="2" customFormat="1">
      <c r="A65" s="1292" t="s">
        <v>1301</v>
      </c>
      <c r="B65" s="1209" t="s">
        <v>260</v>
      </c>
      <c r="C65" s="1213">
        <f>C62+C63</f>
        <v>0</v>
      </c>
      <c r="D65" s="1214">
        <f t="shared" ref="D65:I65" si="114">D62+D63</f>
        <v>0</v>
      </c>
      <c r="E65" s="1214">
        <f t="shared" si="114"/>
        <v>0</v>
      </c>
      <c r="F65" s="1214">
        <f t="shared" si="114"/>
        <v>0</v>
      </c>
      <c r="G65" s="1214">
        <f t="shared" si="114"/>
        <v>0</v>
      </c>
      <c r="H65" s="1214">
        <f t="shared" si="114"/>
        <v>0</v>
      </c>
      <c r="I65" s="1215">
        <f t="shared" si="114"/>
        <v>0</v>
      </c>
      <c r="J65" s="1213">
        <f>J62+J63</f>
        <v>0</v>
      </c>
      <c r="K65" s="1214">
        <f t="shared" ref="K65:P65" si="115">K62+K63</f>
        <v>0</v>
      </c>
      <c r="L65" s="1214">
        <f t="shared" si="115"/>
        <v>0</v>
      </c>
      <c r="M65" s="1214">
        <f t="shared" si="115"/>
        <v>0</v>
      </c>
      <c r="N65" s="1214">
        <f t="shared" si="115"/>
        <v>0</v>
      </c>
      <c r="O65" s="1214">
        <f t="shared" si="115"/>
        <v>0</v>
      </c>
      <c r="P65" s="1215">
        <f t="shared" si="115"/>
        <v>0</v>
      </c>
    </row>
    <row r="66" spans="1:16" s="2" customFormat="1" ht="13.5" thickBot="1">
      <c r="A66" s="1293" t="s">
        <v>1302</v>
      </c>
      <c r="B66" s="1219" t="s">
        <v>261</v>
      </c>
      <c r="C66" s="1220">
        <f>C60+C61-C62</f>
        <v>0</v>
      </c>
      <c r="D66" s="1221">
        <f t="shared" ref="D66:I66" si="116">D60+D61-D62</f>
        <v>0</v>
      </c>
      <c r="E66" s="1221">
        <f t="shared" si="116"/>
        <v>0</v>
      </c>
      <c r="F66" s="1221">
        <f t="shared" si="116"/>
        <v>0</v>
      </c>
      <c r="G66" s="1221">
        <f t="shared" si="116"/>
        <v>0</v>
      </c>
      <c r="H66" s="1221">
        <f t="shared" si="116"/>
        <v>0</v>
      </c>
      <c r="I66" s="1222">
        <f t="shared" si="116"/>
        <v>0</v>
      </c>
      <c r="J66" s="1220">
        <f>J60+J61-J62</f>
        <v>0</v>
      </c>
      <c r="K66" s="1221">
        <f t="shared" ref="K66:P66" si="117">K60+K61-K62</f>
        <v>0</v>
      </c>
      <c r="L66" s="1221">
        <f t="shared" si="117"/>
        <v>0</v>
      </c>
      <c r="M66" s="1221">
        <f t="shared" si="117"/>
        <v>0</v>
      </c>
      <c r="N66" s="1221">
        <f t="shared" si="117"/>
        <v>0</v>
      </c>
      <c r="O66" s="1221">
        <f t="shared" si="117"/>
        <v>0</v>
      </c>
      <c r="P66" s="1222">
        <f t="shared" si="117"/>
        <v>0</v>
      </c>
    </row>
    <row r="67" spans="1:16" s="2" customFormat="1" ht="24">
      <c r="A67" s="2387" t="s">
        <v>1303</v>
      </c>
      <c r="B67" s="1362" t="s">
        <v>1307</v>
      </c>
      <c r="C67" s="3080"/>
      <c r="D67" s="3031">
        <v>0</v>
      </c>
      <c r="E67" s="3031">
        <v>0</v>
      </c>
      <c r="F67" s="3031">
        <v>0</v>
      </c>
      <c r="G67" s="3031">
        <v>0</v>
      </c>
      <c r="H67" s="3031">
        <v>0</v>
      </c>
      <c r="I67" s="3031">
        <v>0</v>
      </c>
      <c r="J67" s="3080"/>
      <c r="K67" s="3031">
        <v>0</v>
      </c>
      <c r="L67" s="3031">
        <v>0</v>
      </c>
      <c r="M67" s="3031">
        <v>0</v>
      </c>
      <c r="N67" s="3031">
        <v>0</v>
      </c>
      <c r="O67" s="3031">
        <v>0</v>
      </c>
      <c r="P67" s="3032">
        <v>0</v>
      </c>
    </row>
    <row r="68" spans="1:16" s="2" customFormat="1" ht="24">
      <c r="A68" s="2388" t="s">
        <v>1304</v>
      </c>
      <c r="B68" s="1289" t="s">
        <v>1308</v>
      </c>
      <c r="C68" s="3080"/>
      <c r="D68" s="3034">
        <v>0</v>
      </c>
      <c r="E68" s="3034">
        <v>0</v>
      </c>
      <c r="F68" s="3034">
        <v>0</v>
      </c>
      <c r="G68" s="3034">
        <v>0</v>
      </c>
      <c r="H68" s="3034">
        <v>0</v>
      </c>
      <c r="I68" s="3034">
        <v>0</v>
      </c>
      <c r="J68" s="3080"/>
      <c r="K68" s="3034">
        <v>0</v>
      </c>
      <c r="L68" s="3034">
        <v>0</v>
      </c>
      <c r="M68" s="3034">
        <v>0</v>
      </c>
      <c r="N68" s="3034">
        <v>0</v>
      </c>
      <c r="O68" s="3034">
        <v>0</v>
      </c>
      <c r="P68" s="3035">
        <v>0</v>
      </c>
    </row>
    <row r="69" spans="1:16" s="2" customFormat="1" ht="24.75" thickBot="1">
      <c r="A69" s="2389" t="s">
        <v>1305</v>
      </c>
      <c r="B69" s="1290" t="s">
        <v>1309</v>
      </c>
      <c r="C69" s="3080"/>
      <c r="D69" s="3037">
        <v>0</v>
      </c>
      <c r="E69" s="3037">
        <v>0</v>
      </c>
      <c r="F69" s="3037">
        <v>0</v>
      </c>
      <c r="G69" s="3037">
        <v>0</v>
      </c>
      <c r="H69" s="3037">
        <v>0</v>
      </c>
      <c r="I69" s="3037">
        <v>0</v>
      </c>
      <c r="J69" s="3080"/>
      <c r="K69" s="3037">
        <v>0</v>
      </c>
      <c r="L69" s="3037">
        <v>0</v>
      </c>
      <c r="M69" s="3037">
        <v>0</v>
      </c>
      <c r="N69" s="3037">
        <v>0</v>
      </c>
      <c r="O69" s="3037">
        <v>0</v>
      </c>
      <c r="P69" s="3038">
        <v>0</v>
      </c>
    </row>
    <row r="70" spans="1:16" ht="16.5" customHeight="1">
      <c r="B70" s="1223"/>
      <c r="E70" s="1201"/>
      <c r="F70" s="1201"/>
      <c r="G70" s="1201"/>
      <c r="H70" s="1201"/>
      <c r="I70" s="40"/>
    </row>
    <row r="71" spans="1:16">
      <c r="B71" s="43" t="str">
        <f>'9.Инвестиционна програма'!B101</f>
        <v>Дата: 27.06.2016г.</v>
      </c>
      <c r="G71" s="13"/>
      <c r="I71" s="37"/>
    </row>
    <row r="72" spans="1:16">
      <c r="B72" s="1"/>
      <c r="E72" s="1"/>
      <c r="F72" s="45" t="str">
        <f>'9.Инвестиционна програма'!AC99</f>
        <v>Главен счетоводител:</v>
      </c>
      <c r="G72" s="13" t="s">
        <v>262</v>
      </c>
      <c r="H72" s="2"/>
      <c r="I72" s="5"/>
    </row>
    <row r="73" spans="1:16">
      <c r="B73" s="1"/>
      <c r="E73" s="1"/>
      <c r="F73" s="14"/>
      <c r="H73" s="15" t="s">
        <v>5</v>
      </c>
      <c r="I73" s="5"/>
    </row>
    <row r="74" spans="1:16">
      <c r="B74" s="1"/>
      <c r="E74" s="1"/>
      <c r="F74" s="14"/>
      <c r="H74" s="15"/>
      <c r="I74" s="5"/>
    </row>
    <row r="75" spans="1:16">
      <c r="B75" s="1"/>
      <c r="E75" s="1"/>
      <c r="F75" s="14"/>
      <c r="H75" s="15"/>
      <c r="I75" s="5"/>
    </row>
    <row r="76" spans="1:16">
      <c r="B76" s="1"/>
      <c r="E76" s="1"/>
      <c r="F76" s="46" t="str">
        <f>'9.Инвестиционна програма'!AC105</f>
        <v>Управител:</v>
      </c>
      <c r="G76" s="13" t="s">
        <v>262</v>
      </c>
      <c r="H76" s="5"/>
      <c r="I76" s="5"/>
    </row>
    <row r="77" spans="1:16">
      <c r="B77" s="1"/>
      <c r="E77" s="1"/>
      <c r="F77" s="16"/>
      <c r="H77" s="15" t="s">
        <v>6</v>
      </c>
    </row>
    <row r="80" spans="1:16" ht="27" customHeight="1">
      <c r="A80" s="3479" t="s">
        <v>247</v>
      </c>
      <c r="B80" s="3479"/>
      <c r="C80" s="3479"/>
      <c r="D80" s="3479"/>
      <c r="E80" s="3083"/>
      <c r="F80" s="3083"/>
      <c r="G80" s="3083"/>
      <c r="H80" s="3084"/>
      <c r="I80" s="3084"/>
      <c r="J80" s="3084"/>
      <c r="K80" s="3084"/>
      <c r="L80" s="3084"/>
      <c r="M80" s="3084"/>
      <c r="N80" s="3084"/>
      <c r="O80" s="3084"/>
      <c r="P80" s="3084"/>
    </row>
    <row r="81" spans="1:16">
      <c r="A81" s="3487" t="s">
        <v>248</v>
      </c>
      <c r="B81" s="3487"/>
      <c r="C81" s="3487"/>
      <c r="D81" s="3487"/>
      <c r="E81" s="3085"/>
      <c r="F81" s="3085"/>
      <c r="G81" s="3085"/>
      <c r="H81" s="3086"/>
      <c r="I81" s="3086"/>
      <c r="J81" s="3086"/>
      <c r="K81" s="3086"/>
      <c r="L81" s="3086"/>
      <c r="M81" s="3086"/>
      <c r="N81" s="3086"/>
      <c r="O81" s="3086"/>
      <c r="P81" s="3086"/>
    </row>
    <row r="82" spans="1:16" ht="29.25" customHeight="1">
      <c r="A82" s="3477" t="s">
        <v>1542</v>
      </c>
      <c r="B82" s="3477"/>
      <c r="C82" s="3477"/>
      <c r="D82" s="3477"/>
      <c r="E82" s="3477"/>
      <c r="F82" s="3477"/>
      <c r="G82" s="3477"/>
      <c r="H82" s="3477"/>
      <c r="I82" s="3477"/>
      <c r="J82" s="3477"/>
      <c r="K82" s="3477"/>
      <c r="L82" s="3477"/>
      <c r="M82" s="3477"/>
      <c r="N82" s="3477"/>
      <c r="O82" s="3477"/>
      <c r="P82" s="3477"/>
    </row>
    <row r="83" spans="1:16" ht="21" customHeight="1">
      <c r="A83" s="3347" t="s">
        <v>1543</v>
      </c>
      <c r="B83" s="3347"/>
      <c r="C83" s="3347"/>
      <c r="D83" s="3347"/>
      <c r="E83" s="3347"/>
      <c r="F83" s="3347"/>
      <c r="G83" s="3347"/>
      <c r="H83" s="3347"/>
      <c r="I83" s="3347"/>
      <c r="J83" s="3347"/>
      <c r="K83" s="3347"/>
      <c r="L83" s="3347"/>
      <c r="M83" s="3347"/>
      <c r="N83" s="3347"/>
      <c r="O83" s="3347"/>
      <c r="P83" s="3347"/>
    </row>
    <row r="84" spans="1:16" ht="32.25" customHeight="1">
      <c r="A84" s="3477" t="s">
        <v>1541</v>
      </c>
      <c r="B84" s="3477"/>
      <c r="C84" s="3477"/>
      <c r="D84" s="3477"/>
      <c r="E84" s="3477"/>
      <c r="F84" s="3477"/>
      <c r="G84" s="3477"/>
      <c r="H84" s="3477"/>
      <c r="I84" s="3477"/>
      <c r="J84" s="3477"/>
      <c r="K84" s="3477"/>
      <c r="L84" s="3477"/>
      <c r="M84" s="3477"/>
      <c r="N84" s="3477"/>
      <c r="O84" s="3477"/>
      <c r="P84" s="3477"/>
    </row>
    <row r="85" spans="1:16" ht="22.5" customHeight="1">
      <c r="A85" s="3477" t="s">
        <v>1544</v>
      </c>
      <c r="B85" s="3477"/>
      <c r="C85" s="3477"/>
      <c r="D85" s="3477"/>
      <c r="E85" s="3477"/>
      <c r="F85" s="3477"/>
      <c r="G85" s="3477"/>
      <c r="H85" s="3477"/>
      <c r="I85" s="3477"/>
      <c r="J85" s="3477"/>
      <c r="K85" s="3477"/>
      <c r="L85" s="3477"/>
      <c r="M85" s="3477"/>
      <c r="N85" s="3477"/>
      <c r="O85" s="3477"/>
      <c r="P85" s="3477"/>
    </row>
    <row r="86" spans="1:16">
      <c r="A86" s="3477" t="s">
        <v>1545</v>
      </c>
      <c r="B86" s="3477"/>
      <c r="C86" s="3477"/>
      <c r="D86" s="3477"/>
      <c r="E86" s="3477"/>
      <c r="F86" s="3477"/>
      <c r="G86" s="3477"/>
      <c r="H86" s="3477"/>
      <c r="I86" s="3477"/>
      <c r="J86" s="3477"/>
      <c r="K86" s="3477"/>
      <c r="L86" s="3477"/>
      <c r="M86" s="3477"/>
      <c r="N86" s="3477"/>
      <c r="O86" s="3477"/>
      <c r="P86" s="3477"/>
    </row>
    <row r="87" spans="1:16" ht="21.75" customHeight="1">
      <c r="A87" s="3477" t="s">
        <v>1546</v>
      </c>
      <c r="B87" s="3477"/>
      <c r="C87" s="3477"/>
      <c r="D87" s="3477"/>
      <c r="E87" s="3477"/>
      <c r="F87" s="3477"/>
      <c r="G87" s="3477"/>
      <c r="H87" s="3477"/>
      <c r="I87" s="3477"/>
      <c r="J87" s="3477"/>
      <c r="K87" s="3477"/>
      <c r="L87" s="3477"/>
      <c r="M87" s="3477"/>
      <c r="N87" s="3477"/>
      <c r="O87" s="3477"/>
      <c r="P87" s="3477"/>
    </row>
    <row r="88" spans="1:16" ht="31.5" customHeight="1">
      <c r="A88" s="33"/>
    </row>
  </sheetData>
  <sheetProtection password="C6DB" sheet="1" objects="1" scenarios="1" formatCells="0" formatColumns="0" formatRows="0"/>
  <mergeCells count="30">
    <mergeCell ref="A82:P82"/>
    <mergeCell ref="A87:P87"/>
    <mergeCell ref="A85:P85"/>
    <mergeCell ref="A46:A47"/>
    <mergeCell ref="A58:A59"/>
    <mergeCell ref="A80:D80"/>
    <mergeCell ref="B58:B59"/>
    <mergeCell ref="A86:P86"/>
    <mergeCell ref="C46:I46"/>
    <mergeCell ref="B46:B47"/>
    <mergeCell ref="A84:P84"/>
    <mergeCell ref="A81:D81"/>
    <mergeCell ref="J46:P46"/>
    <mergeCell ref="A83:P83"/>
    <mergeCell ref="C58:I58"/>
    <mergeCell ref="J58:P58"/>
    <mergeCell ref="A2:W2"/>
    <mergeCell ref="A3:W3"/>
    <mergeCell ref="A4:W4"/>
    <mergeCell ref="A1:W1"/>
    <mergeCell ref="J34:P34"/>
    <mergeCell ref="Q34:W34"/>
    <mergeCell ref="A6:A7"/>
    <mergeCell ref="A34:A35"/>
    <mergeCell ref="B6:B7"/>
    <mergeCell ref="C6:I6"/>
    <mergeCell ref="C34:I34"/>
    <mergeCell ref="B34:B35"/>
    <mergeCell ref="J6:P6"/>
    <mergeCell ref="Q6:W6"/>
  </mergeCells>
  <conditionalFormatting sqref="C28:W28">
    <cfRule type="cellIs" dxfId="4" priority="3" operator="lessThan">
      <formula>0</formula>
    </cfRule>
  </conditionalFormatting>
  <conditionalFormatting sqref="C31:W31">
    <cfRule type="cellIs" dxfId="3" priority="2" operator="greaterThan">
      <formula>1</formula>
    </cfRule>
  </conditionalFormatting>
  <conditionalFormatting sqref="C32:W32">
    <cfRule type="cellIs" dxfId="2" priority="1" operator="greaterThan">
      <formula>0</formula>
    </cfRule>
  </conditionalFormatting>
  <printOptions horizontalCentered="1"/>
  <pageMargins left="0.19685039370078741" right="0.19685039370078741" top="0.59055118110236227" bottom="0.19685039370078741" header="0.39370078740157483" footer="0.39370078740157483"/>
  <pageSetup paperSize="9" scale="59" orientation="landscape" r:id="rId1"/>
  <headerFooter alignWithMargins="0">
    <oddFooter>&amp;A&amp;RPage &amp;P</oddFooter>
  </headerFooter>
  <rowBreaks count="1" manualBreakCount="1">
    <brk id="33" max="22" man="1"/>
  </rowBreaks>
  <ignoredErrors>
    <ignoredError sqref="D48 D60 D36 C32:W32" unlockedFormula="1"/>
    <ignoredError sqref="C53:I54" evalError="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AE299"/>
  <sheetViews>
    <sheetView view="pageBreakPreview" zoomScale="85" zoomScaleNormal="85" zoomScaleSheetLayoutView="85" workbookViewId="0">
      <pane xSplit="4" ySplit="7" topLeftCell="E278" activePane="bottomRight" state="frozen"/>
      <selection pane="topRight" activeCell="E1" sqref="E1"/>
      <selection pane="bottomLeft" activeCell="A8" sqref="A8"/>
      <selection pane="bottomRight" activeCell="S151" sqref="S151:S169"/>
    </sheetView>
  </sheetViews>
  <sheetFormatPr defaultRowHeight="12.75"/>
  <cols>
    <col min="1" max="1" width="3.28515625" style="1639" customWidth="1"/>
    <col min="2" max="2" width="8.42578125" style="1640" customWidth="1"/>
    <col min="3" max="3" width="6.28515625" style="1640" customWidth="1"/>
    <col min="4" max="4" width="39.28515625" style="1640" customWidth="1"/>
    <col min="5" max="5" width="8.28515625" style="1639" bestFit="1" customWidth="1"/>
    <col min="6" max="6" width="8.28515625" style="1640" bestFit="1" customWidth="1"/>
    <col min="7" max="11" width="8.42578125" style="1640" customWidth="1"/>
    <col min="12" max="12" width="7.7109375" style="1639" customWidth="1"/>
    <col min="13" max="18" width="7.7109375" style="1640" customWidth="1"/>
    <col min="19" max="19" width="7.7109375" style="1639" customWidth="1"/>
    <col min="20" max="20" width="7.7109375" style="1640" customWidth="1"/>
    <col min="21" max="25" width="8.5703125" style="1640" customWidth="1"/>
    <col min="26" max="26" width="1.42578125" style="1642" customWidth="1"/>
    <col min="27" max="27" width="8.28515625" style="1640" customWidth="1"/>
    <col min="28" max="28" width="9.140625" style="1640"/>
    <col min="29" max="16384" width="9.140625" style="1642"/>
  </cols>
  <sheetData>
    <row r="1" spans="1:31" ht="13.5">
      <c r="F1" s="1641"/>
      <c r="Y1" s="3020" t="s">
        <v>249</v>
      </c>
      <c r="AA1" s="1643"/>
      <c r="AB1" s="1643"/>
    </row>
    <row r="2" spans="1:31" ht="35.25" customHeight="1">
      <c r="A2" s="3499" t="s">
        <v>878</v>
      </c>
      <c r="B2" s="3499"/>
      <c r="C2" s="3499"/>
      <c r="D2" s="3499"/>
      <c r="E2" s="3499"/>
      <c r="F2" s="3499"/>
      <c r="G2" s="3499"/>
      <c r="H2" s="3499"/>
      <c r="I2" s="3499"/>
      <c r="J2" s="3499"/>
      <c r="K2" s="3499"/>
      <c r="L2" s="3499"/>
      <c r="M2" s="3499"/>
      <c r="N2" s="3499"/>
      <c r="O2" s="3499"/>
      <c r="P2" s="3499"/>
      <c r="Q2" s="3499"/>
      <c r="R2" s="3499"/>
      <c r="S2" s="3499"/>
      <c r="T2" s="3499"/>
      <c r="U2" s="3499"/>
      <c r="V2" s="3499"/>
      <c r="W2" s="3499"/>
      <c r="X2" s="3499"/>
      <c r="Y2" s="3499"/>
      <c r="Z2" s="1644"/>
      <c r="AA2" s="1643"/>
      <c r="AB2" s="1643"/>
    </row>
    <row r="3" spans="1:31" ht="15.75">
      <c r="A3" s="3498" t="str">
        <f>'1. Анкетна карта'!A3:J3</f>
        <v>на "Водоснабдяване и канализация" ООД , гр. Враца</v>
      </c>
      <c r="B3" s="3498"/>
      <c r="C3" s="3498"/>
      <c r="D3" s="3498"/>
      <c r="E3" s="3498"/>
      <c r="F3" s="3498"/>
      <c r="G3" s="3498"/>
      <c r="H3" s="3498"/>
      <c r="I3" s="3498"/>
      <c r="J3" s="3498"/>
      <c r="K3" s="3498"/>
      <c r="L3" s="3498"/>
      <c r="M3" s="3498"/>
      <c r="N3" s="3498"/>
      <c r="O3" s="3498"/>
      <c r="P3" s="3498"/>
      <c r="Q3" s="3498"/>
      <c r="R3" s="3498"/>
      <c r="S3" s="3498"/>
      <c r="T3" s="3498"/>
      <c r="U3" s="3498"/>
      <c r="V3" s="3498"/>
      <c r="W3" s="3498"/>
      <c r="X3" s="3498"/>
      <c r="Y3" s="3498"/>
      <c r="Z3" s="1645"/>
      <c r="AA3" s="1646"/>
      <c r="AB3" s="1645"/>
      <c r="AC3" s="1645"/>
      <c r="AD3" s="1645"/>
      <c r="AE3" s="1645"/>
    </row>
    <row r="4" spans="1:31" ht="15.75">
      <c r="A4" s="3498" t="str">
        <f>'1. Анкетна карта'!A4:J4</f>
        <v>ЕИК по БУЛСТАТ: 816090199</v>
      </c>
      <c r="B4" s="3498"/>
      <c r="C4" s="3498"/>
      <c r="D4" s="3498"/>
      <c r="E4" s="3498"/>
      <c r="F4" s="3498"/>
      <c r="G4" s="3498"/>
      <c r="H4" s="3498"/>
      <c r="I4" s="3498"/>
      <c r="J4" s="3498"/>
      <c r="K4" s="3498"/>
      <c r="L4" s="3498"/>
      <c r="M4" s="3498"/>
      <c r="N4" s="3498"/>
      <c r="O4" s="3498"/>
      <c r="P4" s="3498"/>
      <c r="Q4" s="3498"/>
      <c r="R4" s="3498"/>
      <c r="S4" s="3498"/>
      <c r="T4" s="3498"/>
      <c r="U4" s="3498"/>
      <c r="V4" s="3498"/>
      <c r="W4" s="3498"/>
      <c r="X4" s="3498"/>
      <c r="Y4" s="3498"/>
      <c r="Z4" s="1645"/>
      <c r="AA4" s="1646"/>
      <c r="AB4" s="1645"/>
      <c r="AC4" s="1645"/>
      <c r="AD4" s="1645"/>
      <c r="AE4" s="1645"/>
    </row>
    <row r="5" spans="1:31" ht="16.5" thickBot="1">
      <c r="A5" s="1647"/>
      <c r="B5" s="1647"/>
      <c r="C5" s="1647"/>
      <c r="D5" s="1647"/>
      <c r="E5" s="1647"/>
      <c r="F5" s="1647"/>
      <c r="G5" s="1647"/>
      <c r="H5" s="1647"/>
      <c r="I5" s="1647"/>
      <c r="J5" s="1647"/>
      <c r="K5" s="1647"/>
      <c r="L5" s="1647"/>
      <c r="M5" s="1647"/>
      <c r="N5" s="1647"/>
      <c r="O5" s="1647"/>
      <c r="P5" s="1647"/>
      <c r="Q5" s="1647"/>
      <c r="R5" s="1647"/>
      <c r="S5" s="1647"/>
      <c r="T5" s="1647"/>
      <c r="U5" s="1647"/>
      <c r="V5" s="1647"/>
      <c r="W5" s="1647"/>
      <c r="X5" s="1647"/>
      <c r="Y5" s="1647"/>
      <c r="Z5" s="1645"/>
      <c r="AA5" s="1646"/>
      <c r="AB5" s="1645"/>
      <c r="AC5" s="1645"/>
      <c r="AD5" s="1645"/>
      <c r="AE5" s="1645"/>
    </row>
    <row r="6" spans="1:31" ht="13.5" customHeight="1" thickBot="1">
      <c r="A6" s="3500" t="s">
        <v>1</v>
      </c>
      <c r="B6" s="3504" t="s">
        <v>1489</v>
      </c>
      <c r="C6" s="3504" t="s">
        <v>1488</v>
      </c>
      <c r="D6" s="3500" t="s">
        <v>95</v>
      </c>
      <c r="E6" s="3500" t="s">
        <v>273</v>
      </c>
      <c r="F6" s="3502"/>
      <c r="G6" s="3502"/>
      <c r="H6" s="3502"/>
      <c r="I6" s="3502"/>
      <c r="J6" s="3502"/>
      <c r="K6" s="3503"/>
      <c r="L6" s="3500" t="s">
        <v>230</v>
      </c>
      <c r="M6" s="3502"/>
      <c r="N6" s="3502"/>
      <c r="O6" s="3502"/>
      <c r="P6" s="3502"/>
      <c r="Q6" s="3502"/>
      <c r="R6" s="3503"/>
      <c r="S6" s="3500" t="s">
        <v>241</v>
      </c>
      <c r="T6" s="3502"/>
      <c r="U6" s="3502"/>
      <c r="V6" s="3502"/>
      <c r="W6" s="3502"/>
      <c r="X6" s="3502"/>
      <c r="Y6" s="3503"/>
      <c r="Z6" s="1648"/>
      <c r="AA6" s="3495" t="s">
        <v>912</v>
      </c>
      <c r="AB6" s="1642"/>
    </row>
    <row r="7" spans="1:31" ht="21" customHeight="1" thickBot="1">
      <c r="A7" s="3501"/>
      <c r="B7" s="3505"/>
      <c r="C7" s="3505"/>
      <c r="D7" s="3501"/>
      <c r="E7" s="1166" t="str">
        <f>'Приложение '!G12</f>
        <v>2015 г.</v>
      </c>
      <c r="F7" s="1649" t="str">
        <f>'Приложение '!G13</f>
        <v>2016 г.</v>
      </c>
      <c r="G7" s="1650" t="str">
        <f>'Приложение '!G14</f>
        <v>2017 г.</v>
      </c>
      <c r="H7" s="1650" t="str">
        <f>'Приложение '!G15</f>
        <v>2018 г.</v>
      </c>
      <c r="I7" s="1650" t="str">
        <f>'Приложение '!G16</f>
        <v>2019 г.</v>
      </c>
      <c r="J7" s="1650" t="str">
        <f>'Приложение '!G17</f>
        <v>2020 г.</v>
      </c>
      <c r="K7" s="1651" t="str">
        <f>'Приложение '!G18</f>
        <v>2021 г.</v>
      </c>
      <c r="L7" s="1166" t="str">
        <f>E7</f>
        <v>2015 г.</v>
      </c>
      <c r="M7" s="1649" t="str">
        <f>F7</f>
        <v>2016 г.</v>
      </c>
      <c r="N7" s="1650" t="str">
        <f>G7</f>
        <v>2017 г.</v>
      </c>
      <c r="O7" s="1650" t="str">
        <f>H7</f>
        <v>2018 г.</v>
      </c>
      <c r="P7" s="1652" t="str">
        <f>I7</f>
        <v>2019 г.</v>
      </c>
      <c r="Q7" s="1650" t="str">
        <f t="shared" ref="Q7:Y7" si="0">J7</f>
        <v>2020 г.</v>
      </c>
      <c r="R7" s="1651" t="str">
        <f t="shared" si="0"/>
        <v>2021 г.</v>
      </c>
      <c r="S7" s="1171" t="str">
        <f t="shared" si="0"/>
        <v>2015 г.</v>
      </c>
      <c r="T7" s="1652" t="str">
        <f t="shared" si="0"/>
        <v>2016 г.</v>
      </c>
      <c r="U7" s="1650" t="str">
        <f t="shared" si="0"/>
        <v>2017 г.</v>
      </c>
      <c r="V7" s="1650" t="str">
        <f t="shared" si="0"/>
        <v>2018 г.</v>
      </c>
      <c r="W7" s="1652" t="str">
        <f t="shared" si="0"/>
        <v>2019 г.</v>
      </c>
      <c r="X7" s="1650" t="str">
        <f t="shared" si="0"/>
        <v>2020 г.</v>
      </c>
      <c r="Y7" s="1651" t="str">
        <f t="shared" si="0"/>
        <v>2021 г.</v>
      </c>
      <c r="Z7" s="1648"/>
      <c r="AA7" s="3496"/>
      <c r="AB7" s="1642"/>
    </row>
    <row r="8" spans="1:31" ht="15" thickBot="1">
      <c r="A8" s="1653" t="s">
        <v>574</v>
      </c>
      <c r="B8" s="1653"/>
      <c r="C8" s="1653"/>
      <c r="D8" s="1654" t="s">
        <v>575</v>
      </c>
      <c r="E8" s="1655"/>
      <c r="F8" s="1656"/>
      <c r="G8" s="1657"/>
      <c r="H8" s="1658"/>
      <c r="I8" s="1657"/>
      <c r="J8" s="1657"/>
      <c r="K8" s="1659"/>
      <c r="L8" s="1660"/>
      <c r="M8" s="1661"/>
      <c r="N8" s="1657"/>
      <c r="O8" s="1657"/>
      <c r="P8" s="1657"/>
      <c r="Q8" s="1657"/>
      <c r="R8" s="1659"/>
      <c r="S8" s="1655"/>
      <c r="T8" s="1656"/>
      <c r="U8" s="1657"/>
      <c r="V8" s="1657"/>
      <c r="W8" s="1657"/>
      <c r="X8" s="1657"/>
      <c r="Y8" s="1659"/>
      <c r="Z8" s="1662"/>
      <c r="AA8" s="1663"/>
      <c r="AB8" s="1664"/>
    </row>
    <row r="9" spans="1:31" ht="13.5" thickBot="1">
      <c r="A9" s="1665" t="s">
        <v>268</v>
      </c>
      <c r="B9" s="1666"/>
      <c r="C9" s="1666"/>
      <c r="D9" s="1666" t="s">
        <v>483</v>
      </c>
      <c r="E9" s="2392">
        <f t="shared" ref="E9:Y9" si="1">SUM(E10:E33)-E12-E18</f>
        <v>12313</v>
      </c>
      <c r="F9" s="242">
        <f t="shared" si="1"/>
        <v>13801.703703703704</v>
      </c>
      <c r="G9" s="243">
        <f t="shared" si="1"/>
        <v>14074.408224100618</v>
      </c>
      <c r="H9" s="243">
        <f t="shared" si="1"/>
        <v>14417.269255619241</v>
      </c>
      <c r="I9" s="243">
        <f t="shared" si="1"/>
        <v>14793.78204988741</v>
      </c>
      <c r="J9" s="243">
        <f t="shared" si="1"/>
        <v>15122.948531574424</v>
      </c>
      <c r="K9" s="244">
        <f t="shared" si="1"/>
        <v>15471.28815421593</v>
      </c>
      <c r="L9" s="650">
        <f t="shared" si="1"/>
        <v>1187</v>
      </c>
      <c r="M9" s="242">
        <f t="shared" si="1"/>
        <v>1194.3093681917212</v>
      </c>
      <c r="N9" s="243">
        <f t="shared" si="1"/>
        <v>3015.4008786658114</v>
      </c>
      <c r="O9" s="243">
        <f t="shared" si="1"/>
        <v>3021.7977268033464</v>
      </c>
      <c r="P9" s="243">
        <f t="shared" si="1"/>
        <v>3038.7475732721296</v>
      </c>
      <c r="Q9" s="243">
        <f t="shared" si="1"/>
        <v>3054.9961859247378</v>
      </c>
      <c r="R9" s="244">
        <f t="shared" si="1"/>
        <v>3067.6730727171898</v>
      </c>
      <c r="S9" s="650">
        <f t="shared" si="1"/>
        <v>601</v>
      </c>
      <c r="T9" s="242">
        <f t="shared" si="1"/>
        <v>634.98692810457533</v>
      </c>
      <c r="U9" s="243">
        <f t="shared" si="1"/>
        <v>660.19089723357183</v>
      </c>
      <c r="V9" s="243">
        <f t="shared" si="1"/>
        <v>1144.9330175774116</v>
      </c>
      <c r="W9" s="243">
        <f t="shared" si="1"/>
        <v>1180.4703768404615</v>
      </c>
      <c r="X9" s="243">
        <f t="shared" si="1"/>
        <v>1214.055282500839</v>
      </c>
      <c r="Y9" s="244">
        <f t="shared" si="1"/>
        <v>1252.0387730668763</v>
      </c>
      <c r="Z9" s="1667"/>
      <c r="AA9" s="3021">
        <f>((K9-E9)+(R9-L9)+(Y9-S9)+(K110-E110)+(R110-L110)+(Y110-S110))-('9.Инвестиционна програма'!L86+'9.Инвестиционна програма'!F86)*'11.1.Амортиз.нови активи'!E5</f>
        <v>0</v>
      </c>
      <c r="AB9" s="1642"/>
    </row>
    <row r="10" spans="1:31">
      <c r="A10" s="1669">
        <v>1</v>
      </c>
      <c r="B10" s="1670">
        <v>20101</v>
      </c>
      <c r="C10" s="1671">
        <v>0</v>
      </c>
      <c r="D10" s="2390" t="s">
        <v>758</v>
      </c>
      <c r="E10" s="2245">
        <v>67</v>
      </c>
      <c r="F10" s="2054">
        <f>E10+SUMIF('11.1.Амортиз.нови активи'!$B$11:$B$58,$B10,'11.1.Амортиз.нови активи'!F$11:F$58)+('9.Инвестиционна програма'!F$77*SUMIF('11.1.Амортиз.нови активи'!$B$11:$B$58,$B10,'11.1.Амортиз.нови активи'!AA$11:AA$58))</f>
        <v>67</v>
      </c>
      <c r="G10" s="879">
        <f>F10+SUMIF('11.1.Амортиз.нови активи'!$B$11:$B$58,$B10,'11.1.Амортиз.нови активи'!G$11:G$58)+('9.Инвестиционна програма'!G$77*SUMIF('11.1.Амортиз.нови активи'!$B$11:$B$58,$B10,'11.1.Амортиз.нови активи'!AB$11:AB$58))</f>
        <v>67</v>
      </c>
      <c r="H10" s="879">
        <f>G10+SUMIF('11.1.Амортиз.нови активи'!$B$11:$B$58,$B10,'11.1.Амортиз.нови активи'!H$11:H$58)+('9.Инвестиционна програма'!H$77*SUMIF('11.1.Амортиз.нови активи'!$B$11:$B$58,$B10,'11.1.Амортиз.нови активи'!AC$11:AC$58))</f>
        <v>67</v>
      </c>
      <c r="I10" s="879">
        <f>H10+SUMIF('11.1.Амортиз.нови активи'!$B$11:$B$58,$B10,'11.1.Амортиз.нови активи'!I$11:I$58)+('9.Инвестиционна програма'!I$77*SUMIF('11.1.Амортиз.нови активи'!$B$11:$B$58,$B10,'11.1.Амортиз.нови активи'!AD$11:AD$58))</f>
        <v>67</v>
      </c>
      <c r="J10" s="879">
        <f>I10+SUMIF('11.1.Амортиз.нови активи'!$B$11:$B$58,$B10,'11.1.Амортиз.нови активи'!J$11:J$58)+('9.Инвестиционна програма'!J$77*SUMIF('11.1.Амортиз.нови активи'!$B$11:$B$58,$B10,'11.1.Амортиз.нови активи'!AE$11:AE$58))</f>
        <v>67</v>
      </c>
      <c r="K10" s="880">
        <f>J10+SUMIF('11.1.Амортиз.нови активи'!$B$11:$B$58,$B10,'11.1.Амортиз.нови активи'!K$11:K$58)+('9.Инвестиционна програма'!K$77*SUMIF('11.1.Амортиз.нови активи'!$B$11:$B$58,$B10,'11.1.Амортиз.нови активи'!AF$11:AF$58))</f>
        <v>67</v>
      </c>
      <c r="L10" s="2245">
        <v>0</v>
      </c>
      <c r="M10" s="878">
        <f>L10+SUMIF('11.1.Амортиз.нови активи'!$B$11:$B$58,$B10,'11.1.Амортиз.нови активи'!M$11:M$58)+('9.Инвестиционна програма'!F$78*SUMIF('11.1.Амортиз.нови активи'!$B$11:$B$58,$B10,'11.1.Амортиз.нови активи'!AA$11:AA$58))</f>
        <v>0</v>
      </c>
      <c r="N10" s="879">
        <f>M10+SUMIF('11.1.Амортиз.нови активи'!$B$11:$B$58,$B10,'11.1.Амортиз.нови активи'!N$11:N$58)+('9.Инвестиционна програма'!G$78*SUMIF('11.1.Амортиз.нови активи'!$B$11:$B$58,$B10,'11.1.Амортиз.нови активи'!AB$11:AB$58))</f>
        <v>0</v>
      </c>
      <c r="O10" s="879">
        <f>N10+SUMIF('11.1.Амортиз.нови активи'!$B$11:$B$58,$B10,'11.1.Амортиз.нови активи'!O$11:O$58)+('9.Инвестиционна програма'!H$78*SUMIF('11.1.Амортиз.нови активи'!$B$11:$B$58,$B10,'11.1.Амортиз.нови активи'!AC$11:AC$58))</f>
        <v>0</v>
      </c>
      <c r="P10" s="879">
        <f>O10+SUMIF('11.1.Амортиз.нови активи'!$B$11:$B$58,$B10,'11.1.Амортиз.нови активи'!P$11:P$58)+('9.Инвестиционна програма'!I$78*SUMIF('11.1.Амортиз.нови активи'!$B$11:$B$58,$B10,'11.1.Амортиз.нови активи'!AD$11:AD$58))</f>
        <v>0</v>
      </c>
      <c r="Q10" s="879">
        <f>P10+SUMIF('11.1.Амортиз.нови активи'!$B$11:$B$58,$B10,'11.1.Амортиз.нови активи'!Q$11:Q$58)+('9.Инвестиционна програма'!J$78*SUMIF('11.1.Амортиз.нови активи'!$B$11:$B$58,$B10,'11.1.Амортиз.нови активи'!AE$11:AE$58))</f>
        <v>0</v>
      </c>
      <c r="R10" s="880">
        <f>Q10+SUMIF('11.1.Амортиз.нови активи'!$B$11:$B$58,$B10,'11.1.Амортиз.нови активи'!R$11:R$58)+('9.Инвестиционна програма'!K$78*SUMIF('11.1.Амортиз.нови активи'!$B$11:$B$58,$B10,'11.1.Амортиз.нови активи'!AF$11:AF$58))</f>
        <v>0</v>
      </c>
      <c r="S10" s="2245">
        <v>0</v>
      </c>
      <c r="T10" s="878">
        <f>S10+SUMIF('11.1.Амортиз.нови активи'!$B$11:$B$58,$B10,'11.1.Амортиз.нови активи'!T$11:T$58)+('9.Инвестиционна програма'!F$79*SUMIF('11.1.Амортиз.нови активи'!$B$11:$B$58,$B10,'11.1.Амортиз.нови активи'!AA$11:AA$58))</f>
        <v>0</v>
      </c>
      <c r="U10" s="879">
        <f>T10+SUMIF('11.1.Амортиз.нови активи'!$B$11:$B$58,$B10,'11.1.Амортиз.нови активи'!U$11:U$58)+('9.Инвестиционна програма'!G$79*SUMIF('11.1.Амортиз.нови активи'!$B$11:$B$58,$B10,'11.1.Амортиз.нови активи'!AB$11:AB$58))</f>
        <v>0</v>
      </c>
      <c r="V10" s="879">
        <f>U10+SUMIF('11.1.Амортиз.нови активи'!$B$11:$B$58,$B10,'11.1.Амортиз.нови активи'!V$11:V$58)+('9.Инвестиционна програма'!H$79*SUMIF('11.1.Амортиз.нови активи'!$B$11:$B$58,$B10,'11.1.Амортиз.нови активи'!AC$11:AC$58))</f>
        <v>0</v>
      </c>
      <c r="W10" s="879">
        <f>V10+SUMIF('11.1.Амортиз.нови активи'!$B$11:$B$58,$B10,'11.1.Амортиз.нови активи'!W$11:W$58)+('9.Инвестиционна програма'!I$79*SUMIF('11.1.Амортиз.нови активи'!$B$11:$B$58,$B10,'11.1.Амортиз.нови активи'!AD$11:AD$58))</f>
        <v>0</v>
      </c>
      <c r="X10" s="879">
        <f>W10+SUMIF('11.1.Амортиз.нови активи'!$B$11:$B$58,$B10,'11.1.Амортиз.нови активи'!X$11:X$58)+('9.Инвестиционна програма'!J$79*SUMIF('11.1.Амортиз.нови активи'!$B$11:$B$58,$B10,'11.1.Амортиз.нови активи'!AE$11:AE$58))</f>
        <v>0</v>
      </c>
      <c r="Y10" s="880">
        <f>X10+SUMIF('11.1.Амортиз.нови активи'!$B$11:$B$58,$B10,'11.1.Амортиз.нови активи'!Y$11:Y$58)+('9.Инвестиционна програма'!K$79*SUMIF('11.1.Амортиз.нови активи'!$B$11:$B$58,$B10,'11.1.Амортиз.нови активи'!AF$11:AF$58))</f>
        <v>0</v>
      </c>
      <c r="Z10" s="1672"/>
      <c r="AA10" s="1673"/>
      <c r="AB10" s="1642"/>
    </row>
    <row r="11" spans="1:31">
      <c r="A11" s="1674">
        <v>2</v>
      </c>
      <c r="B11" s="1675">
        <v>20201</v>
      </c>
      <c r="C11" s="1676">
        <v>0.03</v>
      </c>
      <c r="D11" s="2391" t="s">
        <v>597</v>
      </c>
      <c r="E11" s="2246">
        <v>2889</v>
      </c>
      <c r="F11" s="928">
        <f>E11+SUMIF('11.1.Амортиз.нови активи'!$B$11:$B$58,$B11,'11.1.Амортиз.нови активи'!F$11:F$58)+('9.Инвестиционна програма'!F$77*SUMIF('11.1.Амортиз.нови активи'!$B$11:$B$58,$B11,'11.1.Амортиз.нови активи'!AA$11:AA$58))</f>
        <v>3215.137566137566</v>
      </c>
      <c r="G11" s="882">
        <f>F11+SUMIF('11.1.Амортиз.нови активи'!$B$11:$B$58,$B11,'11.1.Амортиз.нови активи'!G$11:G$58)+('9.Инвестиционна програма'!G$77*SUMIF('11.1.Амортиз.нови активи'!$B$11:$B$58,$B11,'11.1.Амортиз.нови активи'!AB$11:AB$58))</f>
        <v>3267.4528913856366</v>
      </c>
      <c r="H11" s="882">
        <f>G11+SUMIF('11.1.Амортиз.нови активи'!$B$11:$B$58,$B11,'11.1.Амортиз.нови активи'!H$11:H$58)+('9.Инвестиционна програма'!H$77*SUMIF('11.1.Амортиз.нови активи'!$B$11:$B$58,$B11,'11.1.Амортиз.нови активи'!AC$11:AC$58))</f>
        <v>3365.6620604400778</v>
      </c>
      <c r="I11" s="882">
        <f>H11+SUMIF('11.1.Амортиз.нови активи'!$B$11:$B$58,$B11,'11.1.Амортиз.нови активи'!I$11:I$58)+('9.Инвестиционна програма'!I$77*SUMIF('11.1.Амортиз.нови активи'!$B$11:$B$58,$B11,'11.1.Амортиз.нови активи'!AD$11:AD$58))</f>
        <v>3494.4747523541005</v>
      </c>
      <c r="J11" s="882">
        <f>I11+SUMIF('11.1.Амортиз.нови активи'!$B$11:$B$58,$B11,'11.1.Амортиз.нови активи'!J$11:J$58)+('9.Инвестиционна програма'!J$77*SUMIF('11.1.Амортиз.нови активи'!$B$11:$B$58,$B11,'11.1.Амортиз.нови активи'!AE$11:AE$58))</f>
        <v>3625.8288034084844</v>
      </c>
      <c r="K11" s="883">
        <f>J11+SUMIF('11.1.Амортиз.нови активи'!$B$11:$B$58,$B11,'11.1.Амортиз.нови активи'!K$11:K$58)+('9.Инвестиционна програма'!K$77*SUMIF('11.1.Амортиз.нови активи'!$B$11:$B$58,$B11,'11.1.Амортиз.нови активи'!AF$11:AF$58))</f>
        <v>3757.4325769933903</v>
      </c>
      <c r="L11" s="2246">
        <v>22</v>
      </c>
      <c r="M11" s="881">
        <f>L11+SUMIF('11.1.Амортиз.нови активи'!$B$11:$B$58,$B11,'11.1.Амортиз.нови активи'!M$11:M$58)+('9.Инвестиционна програма'!F$78*SUMIF('11.1.Амортиз.нови активи'!$B$11:$B$58,$B11,'11.1.Амортиз.нови активи'!AA$11:AA$58))</f>
        <v>27.734516028633678</v>
      </c>
      <c r="N11" s="882">
        <f>M11+SUMIF('11.1.Амортиз.нови активи'!$B$11:$B$58,$B11,'11.1.Амортиз.нови активи'!N$11:N$58)+('9.Инвестиционна програма'!G$78*SUMIF('11.1.Амортиз.нови активи'!$B$11:$B$58,$B11,'11.1.Амортиз.нови активи'!AB$11:AB$58))</f>
        <v>122.16671007494018</v>
      </c>
      <c r="O11" s="882">
        <f>N11+SUMIF('11.1.Амортиз.нови активи'!$B$11:$B$58,$B11,'11.1.Амортиз.нови активи'!O$11:O$58)+('9.Инвестиционна програма'!H$78*SUMIF('11.1.Амортиз.нови активи'!$B$11:$B$58,$B11,'11.1.Амортиз.нови активи'!AC$11:AC$58))</f>
        <v>126.24980463081411</v>
      </c>
      <c r="P11" s="882">
        <f>O11+SUMIF('11.1.Амортиз.нови активи'!$B$11:$B$58,$B11,'11.1.Амортиз.нови активи'!P$11:P$58)+('9.Инвестиционна програма'!I$78*SUMIF('11.1.Амортиз.нови активи'!$B$11:$B$58,$B11,'11.1.Амортиз.нови активи'!AD$11:AD$58))</f>
        <v>137.30405232784585</v>
      </c>
      <c r="Q11" s="882">
        <f>P11+SUMIF('11.1.Амортиз.нови активи'!$B$11:$B$58,$B11,'11.1.Амортиз.нови активи'!Q$11:Q$58)+('9.Инвестиционна програма'!J$78*SUMIF('11.1.Амортиз.нови активи'!$B$11:$B$58,$B11,'11.1.Амортиз.нови активи'!AE$11:AE$58))</f>
        <v>147.45943523572598</v>
      </c>
      <c r="R11" s="883">
        <f>Q11+SUMIF('11.1.Амортиз.нови активи'!$B$11:$B$58,$B11,'11.1.Амортиз.нови активи'!R$11:R$58)+('9.Инвестиционна програма'!K$78*SUMIF('11.1.Амортиз.нови активи'!$B$11:$B$58,$B11,'11.1.Амортиз.нови активи'!AF$11:AF$58))</f>
        <v>155.06556731119767</v>
      </c>
      <c r="S11" s="2246">
        <v>56</v>
      </c>
      <c r="T11" s="881">
        <f>S11+SUMIF('11.1.Амортиз.нови активи'!$B$11:$B$58,$B11,'11.1.Амортиз.нови активи'!T$11:T$58)+('9.Инвестиционна програма'!F$79*SUMIF('11.1.Амортиз.нови активи'!$B$11:$B$58,$B11,'11.1.Амортиз.нови активи'!AA$11:AA$58))</f>
        <v>59.12791783380019</v>
      </c>
      <c r="U11" s="882">
        <f>T11+SUMIF('11.1.Амортиз.нови активи'!$B$11:$B$58,$B11,'11.1.Амортиз.нови активи'!U$11:U$58)+('9.Инвестиционна програма'!G$79*SUMIF('11.1.Амортиз.нови активи'!$B$11:$B$58,$B11,'11.1.Амортиз.нови активи'!AB$11:AB$58))</f>
        <v>62.380398539423126</v>
      </c>
      <c r="V11" s="882">
        <f>U11+SUMIF('11.1.Амортиз.нови активи'!$B$11:$B$58,$B11,'11.1.Амортиз.нови активи'!V$11:V$58)+('9.Инвестиционна програма'!H$79*SUMIF('11.1.Амортиз.нови активи'!$B$11:$B$58,$B11,'11.1.Амортиз.нови активи'!AC$11:AC$58))</f>
        <v>110.08813492910794</v>
      </c>
      <c r="W11" s="882">
        <f>V11+SUMIF('11.1.Амортиз.нови активи'!$B$11:$B$58,$B11,'11.1.Амортиз.нови активи'!W$11:W$58)+('9.Инвестиционна програма'!I$79*SUMIF('11.1.Амортиз.нови активи'!$B$11:$B$58,$B11,'11.1.Амортиз.нови активи'!AD$11:AD$58))</f>
        <v>120.22119531805369</v>
      </c>
      <c r="X11" s="882">
        <f>W11+SUMIF('11.1.Амортиз.нови активи'!$B$11:$B$58,$B11,'11.1.Амортиз.нови активи'!X$11:X$58)+('9.Инвестиционна програма'!J$79*SUMIF('11.1.Амортиз.нови активи'!$B$11:$B$58,$B11,'11.1.Амортиз.нови активи'!AE$11:AE$58))</f>
        <v>128.71176135578955</v>
      </c>
      <c r="Y11" s="883">
        <f>X11+SUMIF('11.1.Амортиз.нови активи'!$B$11:$B$58,$B11,'11.1.Амортиз.нови активи'!Y$11:Y$58)+('9.Инвестиционна програма'!K$79*SUMIF('11.1.Амортиз.нови активи'!$B$11:$B$58,$B11,'11.1.Амортиз.нови активи'!AF$11:AF$58))</f>
        <v>139.50185569541219</v>
      </c>
      <c r="Z11" s="1672"/>
      <c r="AA11" s="1677"/>
      <c r="AB11" s="1642"/>
    </row>
    <row r="12" spans="1:31" ht="25.5" customHeight="1">
      <c r="A12" s="1674">
        <v>3</v>
      </c>
      <c r="B12" s="1675">
        <v>203</v>
      </c>
      <c r="C12" s="1676"/>
      <c r="D12" s="2393" t="s">
        <v>577</v>
      </c>
      <c r="E12" s="2057">
        <f>SUM(E13:E16)</f>
        <v>4530</v>
      </c>
      <c r="F12" s="958">
        <f>SUM(F13:F16)</f>
        <v>5253</v>
      </c>
      <c r="G12" s="954">
        <f t="shared" ref="G12:Y12" si="2">SUM(G13:G16)</f>
        <v>5292</v>
      </c>
      <c r="H12" s="954">
        <f t="shared" si="2"/>
        <v>5331</v>
      </c>
      <c r="I12" s="954">
        <f t="shared" si="2"/>
        <v>5370</v>
      </c>
      <c r="J12" s="954">
        <f t="shared" si="2"/>
        <v>5409</v>
      </c>
      <c r="K12" s="957">
        <f t="shared" si="2"/>
        <v>5448</v>
      </c>
      <c r="L12" s="2057">
        <f>SUM(L13:L16)</f>
        <v>67</v>
      </c>
      <c r="M12" s="958">
        <f t="shared" si="2"/>
        <v>67</v>
      </c>
      <c r="N12" s="954">
        <f t="shared" si="2"/>
        <v>287</v>
      </c>
      <c r="O12" s="954">
        <f t="shared" si="2"/>
        <v>287</v>
      </c>
      <c r="P12" s="954">
        <f t="shared" si="2"/>
        <v>287</v>
      </c>
      <c r="Q12" s="954">
        <f t="shared" si="2"/>
        <v>287</v>
      </c>
      <c r="R12" s="954">
        <f t="shared" si="2"/>
        <v>287</v>
      </c>
      <c r="S12" s="2057">
        <f>SUM(S13:S16)</f>
        <v>266</v>
      </c>
      <c r="T12" s="958">
        <f t="shared" si="2"/>
        <v>296</v>
      </c>
      <c r="U12" s="954">
        <f t="shared" si="2"/>
        <v>316</v>
      </c>
      <c r="V12" s="954">
        <f t="shared" si="2"/>
        <v>476</v>
      </c>
      <c r="W12" s="954">
        <f t="shared" si="2"/>
        <v>496</v>
      </c>
      <c r="X12" s="954">
        <f t="shared" si="2"/>
        <v>516</v>
      </c>
      <c r="Y12" s="957">
        <f t="shared" si="2"/>
        <v>536</v>
      </c>
      <c r="Z12" s="1672"/>
      <c r="AA12" s="1679"/>
      <c r="AB12" s="1642"/>
    </row>
    <row r="13" spans="1:31" s="1682" customFormat="1">
      <c r="A13" s="1674"/>
      <c r="B13" s="1675">
        <v>20301</v>
      </c>
      <c r="C13" s="1680">
        <v>0.1</v>
      </c>
      <c r="D13" s="2394" t="s">
        <v>599</v>
      </c>
      <c r="E13" s="2246">
        <v>526</v>
      </c>
      <c r="F13" s="928">
        <f>E13+SUMIF('11.1.Амортиз.нови активи'!$B$11:$B$58,$B13,'11.1.Амортиз.нови активи'!F$11:F$58)+('9.Инвестиционна програма'!F$77*SUMIF('11.1.Амортиз.нови активи'!$B$11:$B$58,$B13,'11.1.Амортиз.нови активи'!AA$11:AA$58))</f>
        <v>526</v>
      </c>
      <c r="G13" s="882">
        <f>F13+SUMIF('11.1.Амортиз.нови активи'!$B$11:$B$58,$B13,'11.1.Амортиз.нови активи'!G$11:G$58)+('9.Инвестиционна програма'!G$77*SUMIF('11.1.Амортиз.нови активи'!$B$11:$B$58,$B13,'11.1.Амортиз.нови активи'!AB$11:AB$58))</f>
        <v>526</v>
      </c>
      <c r="H13" s="882">
        <f>G13+SUMIF('11.1.Амортиз.нови активи'!$B$11:$B$58,$B13,'11.1.Амортиз.нови активи'!H$11:H$58)+('9.Инвестиционна програма'!H$77*SUMIF('11.1.Амортиз.нови активи'!$B$11:$B$58,$B13,'11.1.Амортиз.нови активи'!AC$11:AC$58))</f>
        <v>526</v>
      </c>
      <c r="I13" s="882">
        <f>H13+SUMIF('11.1.Амортиз.нови активи'!$B$11:$B$58,$B13,'11.1.Амортиз.нови активи'!I$11:I$58)+('9.Инвестиционна програма'!I$77*SUMIF('11.1.Амортиз.нови активи'!$B$11:$B$58,$B13,'11.1.Амортиз.нови активи'!AD$11:AD$58))</f>
        <v>526</v>
      </c>
      <c r="J13" s="882">
        <f>I13+SUMIF('11.1.Амортиз.нови активи'!$B$11:$B$58,$B13,'11.1.Амортиз.нови активи'!J$11:J$58)+('9.Инвестиционна програма'!J$77*SUMIF('11.1.Амортиз.нови активи'!$B$11:$B$58,$B13,'11.1.Амортиз.нови активи'!AE$11:AE$58))</f>
        <v>526</v>
      </c>
      <c r="K13" s="883">
        <f>J13+SUMIF('11.1.Амортиз.нови активи'!$B$11:$B$58,$B13,'11.1.Амортиз.нови активи'!K$11:K$58)+('9.Инвестиционна програма'!K$77*SUMIF('11.1.Амортиз.нови активи'!$B$11:$B$58,$B13,'11.1.Амортиз.нови активи'!AF$11:AF$58))</f>
        <v>526</v>
      </c>
      <c r="L13" s="2246">
        <v>7</v>
      </c>
      <c r="M13" s="881">
        <f>L13+SUMIF('11.1.Амортиз.нови активи'!$B$11:$B$58,$B13,'11.1.Амортиз.нови активи'!M$11:M$58)+('9.Инвестиционна програма'!F$78*SUMIF('11.1.Амортиз.нови активи'!$B$11:$B$58,$B13,'11.1.Амортиз.нови активи'!AA$11:AA$58))</f>
        <v>7</v>
      </c>
      <c r="N13" s="882">
        <f>M13+SUMIF('11.1.Амортиз.нови активи'!$B$11:$B$58,$B13,'11.1.Амортиз.нови активи'!N$11:N$58)+('9.Инвестиционна програма'!G$78*SUMIF('11.1.Амортиз.нови активи'!$B$11:$B$58,$B13,'11.1.Амортиз.нови активи'!AB$11:AB$58))</f>
        <v>7</v>
      </c>
      <c r="O13" s="882">
        <f>N13+SUMIF('11.1.Амортиз.нови активи'!$B$11:$B$58,$B13,'11.1.Амортиз.нови активи'!O$11:O$58)+('9.Инвестиционна програма'!H$78*SUMIF('11.1.Амортиз.нови активи'!$B$11:$B$58,$B13,'11.1.Амортиз.нови активи'!AC$11:AC$58))</f>
        <v>7</v>
      </c>
      <c r="P13" s="882">
        <f>O13+SUMIF('11.1.Амортиз.нови активи'!$B$11:$B$58,$B13,'11.1.Амортиз.нови активи'!P$11:P$58)+('9.Инвестиционна програма'!I$78*SUMIF('11.1.Амортиз.нови активи'!$B$11:$B$58,$B13,'11.1.Амортиз.нови активи'!AD$11:AD$58))</f>
        <v>7</v>
      </c>
      <c r="Q13" s="882">
        <f>P13+SUMIF('11.1.Амортиз.нови активи'!$B$11:$B$58,$B13,'11.1.Амортиз.нови активи'!Q$11:Q$58)+('9.Инвестиционна програма'!J$78*SUMIF('11.1.Амортиз.нови активи'!$B$11:$B$58,$B13,'11.1.Амортиз.нови активи'!AE$11:AE$58))</f>
        <v>7</v>
      </c>
      <c r="R13" s="883">
        <f>Q13+SUMIF('11.1.Амортиз.нови активи'!$B$11:$B$58,$B13,'11.1.Амортиз.нови активи'!R$11:R$58)+('9.Инвестиционна програма'!K$78*SUMIF('11.1.Амортиз.нови активи'!$B$11:$B$58,$B13,'11.1.Амортиз.нови активи'!AF$11:AF$58))</f>
        <v>7</v>
      </c>
      <c r="S13" s="2246">
        <v>19</v>
      </c>
      <c r="T13" s="881">
        <f>S13+SUMIF('11.1.Амортиз.нови активи'!$B$11:$B$58,$B13,'11.1.Амортиз.нови активи'!T$11:T$58)+('9.Инвестиционна програма'!F$79*SUMIF('11.1.Амортиз.нови активи'!$B$11:$B$58,$B13,'11.1.Амортиз.нови активи'!AA$11:AA$58))</f>
        <v>19</v>
      </c>
      <c r="U13" s="882">
        <f>T13+SUMIF('11.1.Амортиз.нови активи'!$B$11:$B$58,$B13,'11.1.Амортиз.нови активи'!U$11:U$58)+('9.Инвестиционна програма'!G$79*SUMIF('11.1.Амортиз.нови активи'!$B$11:$B$58,$B13,'11.1.Амортиз.нови активи'!AB$11:AB$58))</f>
        <v>19</v>
      </c>
      <c r="V13" s="882">
        <f>U13+SUMIF('11.1.Амортиз.нови активи'!$B$11:$B$58,$B13,'11.1.Амортиз.нови активи'!V$11:V$58)+('9.Инвестиционна програма'!H$79*SUMIF('11.1.Амортиз.нови активи'!$B$11:$B$58,$B13,'11.1.Амортиз.нови активи'!AC$11:AC$58))</f>
        <v>19</v>
      </c>
      <c r="W13" s="882">
        <f>V13+SUMIF('11.1.Амортиз.нови активи'!$B$11:$B$58,$B13,'11.1.Амортиз.нови активи'!W$11:W$58)+('9.Инвестиционна програма'!I$79*SUMIF('11.1.Амортиз.нови активи'!$B$11:$B$58,$B13,'11.1.Амортиз.нови активи'!AD$11:AD$58))</f>
        <v>19</v>
      </c>
      <c r="X13" s="882">
        <f>W13+SUMIF('11.1.Амортиз.нови активи'!$B$11:$B$58,$B13,'11.1.Амортиз.нови активи'!X$11:X$58)+('9.Инвестиционна програма'!J$79*SUMIF('11.1.Амортиз.нови активи'!$B$11:$B$58,$B13,'11.1.Амортиз.нови активи'!AE$11:AE$58))</f>
        <v>19</v>
      </c>
      <c r="Y13" s="883">
        <f>X13+SUMIF('11.1.Амортиз.нови активи'!$B$11:$B$58,$B13,'11.1.Амортиз.нови активи'!Y$11:Y$58)+('9.Инвестиционна програма'!K$79*SUMIF('11.1.Амортиз.нови активи'!$B$11:$B$58,$B13,'11.1.Амортиз.нови активи'!AF$11:AF$58))</f>
        <v>19</v>
      </c>
      <c r="Z13" s="1681"/>
      <c r="AA13" s="1679"/>
    </row>
    <row r="14" spans="1:31" s="1682" customFormat="1">
      <c r="A14" s="1674"/>
      <c r="B14" s="1675">
        <v>20302</v>
      </c>
      <c r="C14" s="1680">
        <v>0.1</v>
      </c>
      <c r="D14" s="2394" t="s">
        <v>600</v>
      </c>
      <c r="E14" s="2246">
        <v>260</v>
      </c>
      <c r="F14" s="928">
        <f>E14+SUMIF('11.1.Амортиз.нови активи'!$B$11:$B$58,$B14,'11.1.Амортиз.нови активи'!F$11:F$58)+('9.Инвестиционна програма'!F$77*SUMIF('11.1.Амортиз.нови активи'!$B$11:$B$58,$B14,'11.1.Амортиз.нови активи'!AA$11:AA$58))</f>
        <v>260</v>
      </c>
      <c r="G14" s="882">
        <f>F14+SUMIF('11.1.Амортиз.нови активи'!$B$11:$B$58,$B14,'11.1.Амортиз.нови активи'!G$11:G$58)+('9.Инвестиционна програма'!G$77*SUMIF('11.1.Амортиз.нови активи'!$B$11:$B$58,$B14,'11.1.Амортиз.нови активи'!AB$11:AB$58))</f>
        <v>260</v>
      </c>
      <c r="H14" s="882">
        <f>G14+SUMIF('11.1.Амортиз.нови активи'!$B$11:$B$58,$B14,'11.1.Амортиз.нови активи'!H$11:H$58)+('9.Инвестиционна програма'!H$77*SUMIF('11.1.Амортиз.нови активи'!$B$11:$B$58,$B14,'11.1.Амортиз.нови активи'!AC$11:AC$58))</f>
        <v>260</v>
      </c>
      <c r="I14" s="882">
        <f>H14+SUMIF('11.1.Амортиз.нови активи'!$B$11:$B$58,$B14,'11.1.Амортиз.нови активи'!I$11:I$58)+('9.Инвестиционна програма'!I$77*SUMIF('11.1.Амортиз.нови активи'!$B$11:$B$58,$B14,'11.1.Амортиз.нови активи'!AD$11:AD$58))</f>
        <v>260</v>
      </c>
      <c r="J14" s="882">
        <f>I14+SUMIF('11.1.Амортиз.нови активи'!$B$11:$B$58,$B14,'11.1.Амортиз.нови активи'!J$11:J$58)+('9.Инвестиционна програма'!J$77*SUMIF('11.1.Амортиз.нови активи'!$B$11:$B$58,$B14,'11.1.Амортиз.нови активи'!AE$11:AE$58))</f>
        <v>260</v>
      </c>
      <c r="K14" s="883">
        <f>J14+SUMIF('11.1.Амортиз.нови активи'!$B$11:$B$58,$B14,'11.1.Амортиз.нови активи'!K$11:K$58)+('9.Инвестиционна програма'!K$77*SUMIF('11.1.Амортиз.нови активи'!$B$11:$B$58,$B14,'11.1.Амортиз.нови активи'!AF$11:AF$58))</f>
        <v>260</v>
      </c>
      <c r="L14" s="2246">
        <v>1</v>
      </c>
      <c r="M14" s="881">
        <f>L14+SUMIF('11.1.Амортиз.нови активи'!$B$11:$B$58,$B14,'11.1.Амортиз.нови активи'!M$11:M$58)+('9.Инвестиционна програма'!F$78*SUMIF('11.1.Амортиз.нови активи'!$B$11:$B$58,$B14,'11.1.Амортиз.нови активи'!AA$11:AA$58))</f>
        <v>1</v>
      </c>
      <c r="N14" s="882">
        <f>M14+SUMIF('11.1.Амортиз.нови активи'!$B$11:$B$58,$B14,'11.1.Амортиз.нови активи'!N$11:N$58)+('9.Инвестиционна програма'!G$78*SUMIF('11.1.Амортиз.нови активи'!$B$11:$B$58,$B14,'11.1.Амортиз.нови активи'!AB$11:AB$58))</f>
        <v>1</v>
      </c>
      <c r="O14" s="882">
        <f>N14+SUMIF('11.1.Амортиз.нови активи'!$B$11:$B$58,$B14,'11.1.Амортиз.нови активи'!O$11:O$58)+('9.Инвестиционна програма'!H$78*SUMIF('11.1.Амортиз.нови активи'!$B$11:$B$58,$B14,'11.1.Амортиз.нови активи'!AC$11:AC$58))</f>
        <v>1</v>
      </c>
      <c r="P14" s="882">
        <f>O14+SUMIF('11.1.Амортиз.нови активи'!$B$11:$B$58,$B14,'11.1.Амортиз.нови активи'!P$11:P$58)+('9.Инвестиционна програма'!I$78*SUMIF('11.1.Амортиз.нови активи'!$B$11:$B$58,$B14,'11.1.Амортиз.нови активи'!AD$11:AD$58))</f>
        <v>1</v>
      </c>
      <c r="Q14" s="882">
        <f>P14+SUMIF('11.1.Амортиз.нови активи'!$B$11:$B$58,$B14,'11.1.Амортиз.нови активи'!Q$11:Q$58)+('9.Инвестиционна програма'!J$78*SUMIF('11.1.Амортиз.нови активи'!$B$11:$B$58,$B14,'11.1.Амортиз.нови активи'!AE$11:AE$58))</f>
        <v>1</v>
      </c>
      <c r="R14" s="883">
        <f>Q14+SUMIF('11.1.Амортиз.нови активи'!$B$11:$B$58,$B14,'11.1.Амортиз.нови активи'!R$11:R$58)+('9.Инвестиционна програма'!K$78*SUMIF('11.1.Амортиз.нови активи'!$B$11:$B$58,$B14,'11.1.Амортиз.нови активи'!AF$11:AF$58))</f>
        <v>1</v>
      </c>
      <c r="S14" s="2246">
        <v>7</v>
      </c>
      <c r="T14" s="881">
        <f>S14+SUMIF('11.1.Амортиз.нови активи'!$B$11:$B$58,$B14,'11.1.Амортиз.нови активи'!T$11:T$58)+('9.Инвестиционна програма'!F$79*SUMIF('11.1.Амортиз.нови активи'!$B$11:$B$58,$B14,'11.1.Амортиз.нови активи'!AA$11:AA$58))</f>
        <v>7</v>
      </c>
      <c r="U14" s="882">
        <f>T14+SUMIF('11.1.Амортиз.нови активи'!$B$11:$B$58,$B14,'11.1.Амортиз.нови активи'!U$11:U$58)+('9.Инвестиционна програма'!G$79*SUMIF('11.1.Амортиз.нови активи'!$B$11:$B$58,$B14,'11.1.Амортиз.нови активи'!AB$11:AB$58))</f>
        <v>7</v>
      </c>
      <c r="V14" s="882">
        <f>U14+SUMIF('11.1.Амортиз.нови активи'!$B$11:$B$58,$B14,'11.1.Амортиз.нови активи'!V$11:V$58)+('9.Инвестиционна програма'!H$79*SUMIF('11.1.Амортиз.нови активи'!$B$11:$B$58,$B14,'11.1.Амортиз.нови активи'!AC$11:AC$58))</f>
        <v>7</v>
      </c>
      <c r="W14" s="882">
        <f>V14+SUMIF('11.1.Амортиз.нови активи'!$B$11:$B$58,$B14,'11.1.Амортиз.нови активи'!W$11:W$58)+('9.Инвестиционна програма'!I$79*SUMIF('11.1.Амортиз.нови активи'!$B$11:$B$58,$B14,'11.1.Амортиз.нови активи'!AD$11:AD$58))</f>
        <v>7</v>
      </c>
      <c r="X14" s="882">
        <f>W14+SUMIF('11.1.Амортиз.нови активи'!$B$11:$B$58,$B14,'11.1.Амортиз.нови активи'!X$11:X$58)+('9.Инвестиционна програма'!J$79*SUMIF('11.1.Амортиз.нови активи'!$B$11:$B$58,$B14,'11.1.Амортиз.нови активи'!AE$11:AE$58))</f>
        <v>7</v>
      </c>
      <c r="Y14" s="883">
        <f>X14+SUMIF('11.1.Амортиз.нови активи'!$B$11:$B$58,$B14,'11.1.Амортиз.нови активи'!Y$11:Y$58)+('9.Инвестиционна програма'!K$79*SUMIF('11.1.Амортиз.нови активи'!$B$11:$B$58,$B14,'11.1.Амортиз.нови активи'!AF$11:AF$58))</f>
        <v>7</v>
      </c>
      <c r="Z14" s="1681"/>
      <c r="AA14" s="1679"/>
    </row>
    <row r="15" spans="1:31" s="1682" customFormat="1">
      <c r="A15" s="1674"/>
      <c r="B15" s="1675">
        <v>20303</v>
      </c>
      <c r="C15" s="1676">
        <v>0.1</v>
      </c>
      <c r="D15" s="2394" t="s">
        <v>578</v>
      </c>
      <c r="E15" s="2246">
        <v>2543</v>
      </c>
      <c r="F15" s="928">
        <f>E15+SUMIF('11.1.Амортиз.нови активи'!$B$11:$B$58,$B15,'11.1.Амортиз.нови активи'!F$11:F$58)+('9.Инвестиционна програма'!F$77*SUMIF('11.1.Амортиз.нови активи'!$B$11:$B$58,$B15,'11.1.Амортиз.нови активи'!AA$11:AA$58))</f>
        <v>2748</v>
      </c>
      <c r="G15" s="882">
        <f>F15+SUMIF('11.1.Амортиз.нови активи'!$B$11:$B$58,$B15,'11.1.Амортиз.нови активи'!G$11:G$58)+('9.Инвестиционна програма'!G$77*SUMIF('11.1.Амортиз.нови активи'!$B$11:$B$58,$B15,'11.1.Амортиз.нови активи'!AB$11:AB$58))</f>
        <v>2768</v>
      </c>
      <c r="H15" s="882">
        <f>G15+SUMIF('11.1.Амортиз.нови активи'!$B$11:$B$58,$B15,'11.1.Амортиз.нови активи'!H$11:H$58)+('9.Инвестиционна програма'!H$77*SUMIF('11.1.Амортиз.нови активи'!$B$11:$B$58,$B15,'11.1.Амортиз.нови активи'!AC$11:AC$58))</f>
        <v>2788</v>
      </c>
      <c r="I15" s="882">
        <f>H15+SUMIF('11.1.Амортиз.нови активи'!$B$11:$B$58,$B15,'11.1.Амортиз.нови активи'!I$11:I$58)+('9.Инвестиционна програма'!I$77*SUMIF('11.1.Амортиз.нови активи'!$B$11:$B$58,$B15,'11.1.Амортиз.нови активи'!AD$11:AD$58))</f>
        <v>2808</v>
      </c>
      <c r="J15" s="882">
        <f>I15+SUMIF('11.1.Амортиз.нови активи'!$B$11:$B$58,$B15,'11.1.Амортиз.нови активи'!J$11:J$58)+('9.Инвестиционна програма'!J$77*SUMIF('11.1.Амортиз.нови активи'!$B$11:$B$58,$B15,'11.1.Амортиз.нови активи'!AE$11:AE$58))</f>
        <v>2828</v>
      </c>
      <c r="K15" s="883">
        <f>J15+SUMIF('11.1.Амортиз.нови активи'!$B$11:$B$58,$B15,'11.1.Амортиз.нови активи'!K$11:K$58)+('9.Инвестиционна програма'!K$77*SUMIF('11.1.Амортиз.нови активи'!$B$11:$B$58,$B15,'11.1.Амортиз.нови активи'!AF$11:AF$58))</f>
        <v>2848</v>
      </c>
      <c r="L15" s="2246">
        <v>53</v>
      </c>
      <c r="M15" s="881">
        <f>L15+SUMIF('11.1.Амортиз.нови активи'!$B$11:$B$58,$B15,'11.1.Амортиз.нови активи'!M$11:M$58)+('9.Инвестиционна програма'!F$78*SUMIF('11.1.Амортиз.нови активи'!$B$11:$B$58,$B15,'11.1.Амортиз.нови активи'!AA$11:AA$58))</f>
        <v>53</v>
      </c>
      <c r="N15" s="882">
        <f>M15+SUMIF('11.1.Амортиз.нови активи'!$B$11:$B$58,$B15,'11.1.Амортиз.нови активи'!N$11:N$58)+('9.Инвестиционна програма'!G$78*SUMIF('11.1.Амортиз.нови активи'!$B$11:$B$58,$B15,'11.1.Амортиз.нови активи'!AB$11:AB$58))</f>
        <v>273</v>
      </c>
      <c r="O15" s="882">
        <f>N15+SUMIF('11.1.Амортиз.нови активи'!$B$11:$B$58,$B15,'11.1.Амортиз.нови активи'!O$11:O$58)+('9.Инвестиционна програма'!H$78*SUMIF('11.1.Амортиз.нови активи'!$B$11:$B$58,$B15,'11.1.Амортиз.нови активи'!AC$11:AC$58))</f>
        <v>273</v>
      </c>
      <c r="P15" s="882">
        <f>O15+SUMIF('11.1.Амортиз.нови активи'!$B$11:$B$58,$B15,'11.1.Амортиз.нови активи'!P$11:P$58)+('9.Инвестиционна програма'!I$78*SUMIF('11.1.Амортиз.нови активи'!$B$11:$B$58,$B15,'11.1.Амортиз.нови активи'!AD$11:AD$58))</f>
        <v>273</v>
      </c>
      <c r="Q15" s="882">
        <f>P15+SUMIF('11.1.Амортиз.нови активи'!$B$11:$B$58,$B15,'11.1.Амортиз.нови активи'!Q$11:Q$58)+('9.Инвестиционна програма'!J$78*SUMIF('11.1.Амортиз.нови активи'!$B$11:$B$58,$B15,'11.1.Амортиз.нови активи'!AE$11:AE$58))</f>
        <v>273</v>
      </c>
      <c r="R15" s="883">
        <f>Q15+SUMIF('11.1.Амортиз.нови активи'!$B$11:$B$58,$B15,'11.1.Амортиз.нови активи'!R$11:R$58)+('9.Инвестиционна програма'!K$78*SUMIF('11.1.Амортиз.нови активи'!$B$11:$B$58,$B15,'11.1.Амортиз.нови активи'!AF$11:AF$58))</f>
        <v>273</v>
      </c>
      <c r="S15" s="2246">
        <v>209</v>
      </c>
      <c r="T15" s="881">
        <f>S15+SUMIF('11.1.Амортиз.нови активи'!$B$11:$B$58,$B15,'11.1.Амортиз.нови активи'!T$11:T$58)+('9.Инвестиционна програма'!F$79*SUMIF('11.1.Амортиз.нови активи'!$B$11:$B$58,$B15,'11.1.Амортиз.нови активи'!AA$11:AA$58))</f>
        <v>229</v>
      </c>
      <c r="U15" s="882">
        <f>T15+SUMIF('11.1.Амортиз.нови активи'!$B$11:$B$58,$B15,'11.1.Амортиз.нови активи'!U$11:U$58)+('9.Инвестиционна програма'!G$79*SUMIF('11.1.Амортиз.нови активи'!$B$11:$B$58,$B15,'11.1.Амортиз.нови активи'!AB$11:AB$58))</f>
        <v>239</v>
      </c>
      <c r="V15" s="882">
        <f>U15+SUMIF('11.1.Амортиз.нови активи'!$B$11:$B$58,$B15,'11.1.Амортиз.нови активи'!V$11:V$58)+('9.Инвестиционна програма'!H$79*SUMIF('11.1.Амортиз.нови активи'!$B$11:$B$58,$B15,'11.1.Амортиз.нови активи'!AC$11:AC$58))</f>
        <v>389</v>
      </c>
      <c r="W15" s="882">
        <f>V15+SUMIF('11.1.Амортиз.нови активи'!$B$11:$B$58,$B15,'11.1.Амортиз.нови активи'!W$11:W$58)+('9.Инвестиционна програма'!I$79*SUMIF('11.1.Амортиз.нови активи'!$B$11:$B$58,$B15,'11.1.Амортиз.нови активи'!AD$11:AD$58))</f>
        <v>399</v>
      </c>
      <c r="X15" s="882">
        <f>W15+SUMIF('11.1.Амортиз.нови активи'!$B$11:$B$58,$B15,'11.1.Амортиз.нови активи'!X$11:X$58)+('9.Инвестиционна програма'!J$79*SUMIF('11.1.Амортиз.нови активи'!$B$11:$B$58,$B15,'11.1.Амортиз.нови активи'!AE$11:AE$58))</f>
        <v>409</v>
      </c>
      <c r="Y15" s="883">
        <f>X15+SUMIF('11.1.Амортиз.нови активи'!$B$11:$B$58,$B15,'11.1.Амортиз.нови активи'!Y$11:Y$58)+('9.Инвестиционна програма'!K$79*SUMIF('11.1.Амортиз.нови активи'!$B$11:$B$58,$B15,'11.1.Амортиз.нови активи'!AF$11:AF$58))</f>
        <v>419</v>
      </c>
      <c r="Z15" s="1681"/>
      <c r="AA15" s="1679"/>
    </row>
    <row r="16" spans="1:31" s="1682" customFormat="1">
      <c r="A16" s="1674"/>
      <c r="B16" s="1675">
        <v>20306</v>
      </c>
      <c r="C16" s="1676">
        <v>0.1</v>
      </c>
      <c r="D16" s="2394" t="s">
        <v>581</v>
      </c>
      <c r="E16" s="2246">
        <v>1201</v>
      </c>
      <c r="F16" s="928">
        <f>E16+SUMIF('11.1.Амортиз.нови активи'!$B$11:$B$58,$B16,'11.1.Амортиз.нови активи'!F$11:F$58)+('9.Инвестиционна програма'!F$77*SUMIF('11.1.Амортиз.нови активи'!$B$11:$B$58,$B16,'11.1.Амортиз.нови активи'!AA$11:AA$58))</f>
        <v>1719</v>
      </c>
      <c r="G16" s="882">
        <f>F16+SUMIF('11.1.Амортиз.нови активи'!$B$11:$B$58,$B16,'11.1.Амортиз.нови активи'!G$11:G$58)+('9.Инвестиционна програма'!G$77*SUMIF('11.1.Амортиз.нови активи'!$B$11:$B$58,$B16,'11.1.Амортиз.нови активи'!AB$11:AB$58))</f>
        <v>1738</v>
      </c>
      <c r="H16" s="882">
        <f>G16+SUMIF('11.1.Амортиз.нови активи'!$B$11:$B$58,$B16,'11.1.Амортиз.нови активи'!H$11:H$58)+('9.Инвестиционна програма'!H$77*SUMIF('11.1.Амортиз.нови активи'!$B$11:$B$58,$B16,'11.1.Амортиз.нови активи'!AC$11:AC$58))</f>
        <v>1757</v>
      </c>
      <c r="I16" s="882">
        <f>H16+SUMIF('11.1.Амортиз.нови активи'!$B$11:$B$58,$B16,'11.1.Амортиз.нови активи'!I$11:I$58)+('9.Инвестиционна програма'!I$77*SUMIF('11.1.Амортиз.нови активи'!$B$11:$B$58,$B16,'11.1.Амортиз.нови активи'!AD$11:AD$58))</f>
        <v>1776</v>
      </c>
      <c r="J16" s="882">
        <f>I16+SUMIF('11.1.Амортиз.нови активи'!$B$11:$B$58,$B16,'11.1.Амортиз.нови активи'!J$11:J$58)+('9.Инвестиционна програма'!J$77*SUMIF('11.1.Амортиз.нови активи'!$B$11:$B$58,$B16,'11.1.Амортиз.нови активи'!AE$11:AE$58))</f>
        <v>1795</v>
      </c>
      <c r="K16" s="883">
        <f>J16+SUMIF('11.1.Амортиз.нови активи'!$B$11:$B$58,$B16,'11.1.Амортиз.нови активи'!K$11:K$58)+('9.Инвестиционна програма'!K$77*SUMIF('11.1.Амортиз.нови активи'!$B$11:$B$58,$B16,'11.1.Амортиз.нови активи'!AF$11:AF$58))</f>
        <v>1814</v>
      </c>
      <c r="L16" s="2246">
        <v>6</v>
      </c>
      <c r="M16" s="881">
        <f>L16+SUMIF('11.1.Амортиз.нови активи'!$B$11:$B$58,$B16,'11.1.Амортиз.нови активи'!M$11:M$58)+('9.Инвестиционна програма'!F$78*SUMIF('11.1.Амортиз.нови активи'!$B$11:$B$58,$B16,'11.1.Амортиз.нови активи'!AA$11:AA$58))</f>
        <v>6</v>
      </c>
      <c r="N16" s="882">
        <f>M16+SUMIF('11.1.Амортиз.нови активи'!$B$11:$B$58,$B16,'11.1.Амортиз.нови активи'!N$11:N$58)+('9.Инвестиционна програма'!G$78*SUMIF('11.1.Амортиз.нови активи'!$B$11:$B$58,$B16,'11.1.Амортиз.нови активи'!AB$11:AB$58))</f>
        <v>6</v>
      </c>
      <c r="O16" s="882">
        <f>N16+SUMIF('11.1.Амортиз.нови активи'!$B$11:$B$58,$B16,'11.1.Амортиз.нови активи'!O$11:O$58)+('9.Инвестиционна програма'!H$78*SUMIF('11.1.Амортиз.нови активи'!$B$11:$B$58,$B16,'11.1.Амортиз.нови активи'!AC$11:AC$58))</f>
        <v>6</v>
      </c>
      <c r="P16" s="882">
        <f>O16+SUMIF('11.1.Амортиз.нови активи'!$B$11:$B$58,$B16,'11.1.Амортиз.нови активи'!P$11:P$58)+('9.Инвестиционна програма'!I$78*SUMIF('11.1.Амортиз.нови активи'!$B$11:$B$58,$B16,'11.1.Амортиз.нови активи'!AD$11:AD$58))</f>
        <v>6</v>
      </c>
      <c r="Q16" s="882">
        <f>P16+SUMIF('11.1.Амортиз.нови активи'!$B$11:$B$58,$B16,'11.1.Амортиз.нови активи'!Q$11:Q$58)+('9.Инвестиционна програма'!J$78*SUMIF('11.1.Амортиз.нови активи'!$B$11:$B$58,$B16,'11.1.Амортиз.нови активи'!AE$11:AE$58))</f>
        <v>6</v>
      </c>
      <c r="R16" s="883">
        <f>Q16+SUMIF('11.1.Амортиз.нови активи'!$B$11:$B$58,$B16,'11.1.Амортиз.нови активи'!R$11:R$58)+('9.Инвестиционна програма'!K$78*SUMIF('11.1.Амортиз.нови активи'!$B$11:$B$58,$B16,'11.1.Амортиз.нови активи'!AF$11:AF$58))</f>
        <v>6</v>
      </c>
      <c r="S16" s="2246">
        <v>31</v>
      </c>
      <c r="T16" s="881">
        <f>S16+SUMIF('11.1.Амортиз.нови активи'!$B$11:$B$58,$B16,'11.1.Амортиз.нови активи'!T$11:T$58)+('9.Инвестиционна програма'!F$79*SUMIF('11.1.Амортиз.нови активи'!$B$11:$B$58,$B16,'11.1.Амортиз.нови активи'!AA$11:AA$58))</f>
        <v>41</v>
      </c>
      <c r="U16" s="882">
        <f>T16+SUMIF('11.1.Амортиз.нови активи'!$B$11:$B$58,$B16,'11.1.Амортиз.нови активи'!U$11:U$58)+('9.Инвестиционна програма'!G$79*SUMIF('11.1.Амортиз.нови активи'!$B$11:$B$58,$B16,'11.1.Амортиз.нови активи'!AB$11:AB$58))</f>
        <v>51</v>
      </c>
      <c r="V16" s="882">
        <f>U16+SUMIF('11.1.Амортиз.нови активи'!$B$11:$B$58,$B16,'11.1.Амортиз.нови активи'!V$11:V$58)+('9.Инвестиционна програма'!H$79*SUMIF('11.1.Амортиз.нови активи'!$B$11:$B$58,$B16,'11.1.Амортиз.нови активи'!AC$11:AC$58))</f>
        <v>61</v>
      </c>
      <c r="W16" s="882">
        <f>V16+SUMIF('11.1.Амортиз.нови активи'!$B$11:$B$58,$B16,'11.1.Амортиз.нови активи'!W$11:W$58)+('9.Инвестиционна програма'!I$79*SUMIF('11.1.Амортиз.нови активи'!$B$11:$B$58,$B16,'11.1.Амортиз.нови активи'!AD$11:AD$58))</f>
        <v>71</v>
      </c>
      <c r="X16" s="882">
        <f>W16+SUMIF('11.1.Амортиз.нови активи'!$B$11:$B$58,$B16,'11.1.Амортиз.нови активи'!X$11:X$58)+('9.Инвестиционна програма'!J$79*SUMIF('11.1.Амортиз.нови активи'!$B$11:$B$58,$B16,'11.1.Амортиз.нови активи'!AE$11:AE$58))</f>
        <v>81</v>
      </c>
      <c r="Y16" s="883">
        <f>X16+SUMIF('11.1.Амортиз.нови активи'!$B$11:$B$58,$B16,'11.1.Амортиз.нови активи'!Y$11:Y$58)+('9.Инвестиционна програма'!K$79*SUMIF('11.1.Амортиз.нови активи'!$B$11:$B$58,$B16,'11.1.Амортиз.нови активи'!AF$11:AF$58))</f>
        <v>91</v>
      </c>
      <c r="Z16" s="1681"/>
      <c r="AA16" s="1679"/>
    </row>
    <row r="17" spans="1:28" s="1682" customFormat="1">
      <c r="A17" s="1674">
        <v>4</v>
      </c>
      <c r="B17" s="1675">
        <v>20403</v>
      </c>
      <c r="C17" s="1680">
        <v>0.04</v>
      </c>
      <c r="D17" s="3023" t="s">
        <v>606</v>
      </c>
      <c r="E17" s="2246">
        <v>619</v>
      </c>
      <c r="F17" s="928">
        <f>E17+SUMIF('11.1.Амортиз.нови активи'!$B$11:$B$58,$B17,'11.1.Амортиз.нови активи'!F$11:F$58)+('9.Инвестиционна програма'!F$77*SUMIF('11.1.Амортиз.нови активи'!$B$11:$B$58,$B17,'11.1.Амортиз.нови активи'!AA$11:AA$58))</f>
        <v>619</v>
      </c>
      <c r="G17" s="882">
        <f>F17+SUMIF('11.1.Амортиз.нови активи'!$B$11:$B$58,$B17,'11.1.Амортиз.нови активи'!G$11:G$58)+('9.Инвестиционна програма'!G$77*SUMIF('11.1.Амортиз.нови активи'!$B$11:$B$58,$B17,'11.1.Амортиз.нови активи'!AB$11:AB$58))</f>
        <v>619</v>
      </c>
      <c r="H17" s="882">
        <f>G17+SUMIF('11.1.Амортиз.нови активи'!$B$11:$B$58,$B17,'11.1.Амортиз.нови активи'!H$11:H$58)+('9.Инвестиционна програма'!H$77*SUMIF('11.1.Амортиз.нови активи'!$B$11:$B$58,$B17,'11.1.Амортиз.нови активи'!AC$11:AC$58))</f>
        <v>619</v>
      </c>
      <c r="I17" s="882">
        <f>H17+SUMIF('11.1.Амортиз.нови активи'!$B$11:$B$58,$B17,'11.1.Амортиз.нови активи'!I$11:I$58)+('9.Инвестиционна програма'!I$77*SUMIF('11.1.Амортиз.нови активи'!$B$11:$B$58,$B17,'11.1.Амортиз.нови активи'!AD$11:AD$58))</f>
        <v>619</v>
      </c>
      <c r="J17" s="882">
        <f>I17+SUMIF('11.1.Амортиз.нови активи'!$B$11:$B$58,$B17,'11.1.Амортиз.нови активи'!J$11:J$58)+('9.Инвестиционна програма'!J$77*SUMIF('11.1.Амортиз.нови активи'!$B$11:$B$58,$B17,'11.1.Амортиз.нови активи'!AE$11:AE$58))</f>
        <v>619</v>
      </c>
      <c r="K17" s="883">
        <f>J17+SUMIF('11.1.Амортиз.нови активи'!$B$11:$B$58,$B17,'11.1.Амортиз.нови активи'!K$11:K$58)+('9.Инвестиционна програма'!K$77*SUMIF('11.1.Амортиз.нови активи'!$B$11:$B$58,$B17,'11.1.Амортиз.нови активи'!AF$11:AF$58))</f>
        <v>619</v>
      </c>
      <c r="L17" s="2246">
        <v>1</v>
      </c>
      <c r="M17" s="881">
        <f>L17+SUMIF('11.1.Амортиз.нови активи'!$B$11:$B$58,$B17,'11.1.Амортиз.нови активи'!M$11:M$58)+('9.Инвестиционна програма'!F$78*SUMIF('11.1.Амортиз.нови активи'!$B$11:$B$58,$B17,'11.1.Амортиз.нови активи'!AA$11:AA$58))</f>
        <v>1</v>
      </c>
      <c r="N17" s="882">
        <f>M17+SUMIF('11.1.Амортиз.нови активи'!$B$11:$B$58,$B17,'11.1.Амортиз.нови активи'!N$11:N$58)+('9.Инвестиционна програма'!G$78*SUMIF('11.1.Амортиз.нови активи'!$B$11:$B$58,$B17,'11.1.Амортиз.нови активи'!AB$11:AB$58))</f>
        <v>1</v>
      </c>
      <c r="O17" s="882">
        <f>N17+SUMIF('11.1.Амортиз.нови активи'!$B$11:$B$58,$B17,'11.1.Амортиз.нови активи'!O$11:O$58)+('9.Инвестиционна програма'!H$78*SUMIF('11.1.Амортиз.нови активи'!$B$11:$B$58,$B17,'11.1.Амортиз.нови активи'!AC$11:AC$58))</f>
        <v>1</v>
      </c>
      <c r="P17" s="882">
        <f>O17+SUMIF('11.1.Амортиз.нови активи'!$B$11:$B$58,$B17,'11.1.Амортиз.нови активи'!P$11:P$58)+('9.Инвестиционна програма'!I$78*SUMIF('11.1.Амортиз.нови активи'!$B$11:$B$58,$B17,'11.1.Амортиз.нови активи'!AD$11:AD$58))</f>
        <v>1</v>
      </c>
      <c r="Q17" s="882">
        <f>P17+SUMIF('11.1.Амортиз.нови активи'!$B$11:$B$58,$B17,'11.1.Амортиз.нови активи'!Q$11:Q$58)+('9.Инвестиционна програма'!J$78*SUMIF('11.1.Амортиз.нови активи'!$B$11:$B$58,$B17,'11.1.Амортиз.нови активи'!AE$11:AE$58))</f>
        <v>1</v>
      </c>
      <c r="R17" s="883">
        <f>Q17+SUMIF('11.1.Амортиз.нови активи'!$B$11:$B$58,$B17,'11.1.Амортиз.нови активи'!R$11:R$58)+('9.Инвестиционна програма'!K$78*SUMIF('11.1.Амортиз.нови активи'!$B$11:$B$58,$B17,'11.1.Амортиз.нови активи'!AF$11:AF$58))</f>
        <v>1</v>
      </c>
      <c r="S17" s="2246">
        <v>11</v>
      </c>
      <c r="T17" s="881">
        <f>S17+SUMIF('11.1.Амортиз.нови активи'!$B$11:$B$58,$B17,'11.1.Амортиз.нови активи'!T$11:T$58)+('9.Инвестиционна програма'!F$79*SUMIF('11.1.Амортиз.нови активи'!$B$11:$B$58,$B17,'11.1.Амортиз.нови активи'!AA$11:AA$58))</f>
        <v>11</v>
      </c>
      <c r="U17" s="882">
        <f>T17+SUMIF('11.1.Амортиз.нови активи'!$B$11:$B$58,$B17,'11.1.Амортиз.нови активи'!U$11:U$58)+('9.Инвестиционна програма'!G$79*SUMIF('11.1.Амортиз.нови активи'!$B$11:$B$58,$B17,'11.1.Амортиз.нови активи'!AB$11:AB$58))</f>
        <v>11</v>
      </c>
      <c r="V17" s="882">
        <f>U17+SUMIF('11.1.Амортиз.нови активи'!$B$11:$B$58,$B17,'11.1.Амортиз.нови активи'!V$11:V$58)+('9.Инвестиционна програма'!H$79*SUMIF('11.1.Амортиз.нови активи'!$B$11:$B$58,$B17,'11.1.Амортиз.нови активи'!AC$11:AC$58))</f>
        <v>11</v>
      </c>
      <c r="W17" s="882">
        <f>V17+SUMIF('11.1.Амортиз.нови активи'!$B$11:$B$58,$B17,'11.1.Амортиз.нови активи'!W$11:W$58)+('9.Инвестиционна програма'!I$79*SUMIF('11.1.Амортиз.нови активи'!$B$11:$B$58,$B17,'11.1.Амортиз.нови активи'!AD$11:AD$58))</f>
        <v>11</v>
      </c>
      <c r="X17" s="882">
        <f>W17+SUMIF('11.1.Амортиз.нови активи'!$B$11:$B$58,$B17,'11.1.Амортиз.нови активи'!X$11:X$58)+('9.Инвестиционна програма'!J$79*SUMIF('11.1.Амортиз.нови активи'!$B$11:$B$58,$B17,'11.1.Амортиз.нови активи'!AE$11:AE$58))</f>
        <v>11</v>
      </c>
      <c r="Y17" s="883">
        <f>X17+SUMIF('11.1.Амортиз.нови активи'!$B$11:$B$58,$B17,'11.1.Амортиз.нови активи'!Y$11:Y$58)+('9.Инвестиционна програма'!K$79*SUMIF('11.1.Амортиз.нови активи'!$B$11:$B$58,$B17,'11.1.Амортиз.нови активи'!AF$11:AF$58))</f>
        <v>11</v>
      </c>
      <c r="Z17" s="1681"/>
      <c r="AA17" s="1679"/>
    </row>
    <row r="18" spans="1:28">
      <c r="A18" s="1674">
        <v>5</v>
      </c>
      <c r="B18" s="1675">
        <v>205</v>
      </c>
      <c r="C18" s="1675"/>
      <c r="D18" s="2393" t="s">
        <v>275</v>
      </c>
      <c r="E18" s="1683">
        <f>SUM(E19:E22)</f>
        <v>3063</v>
      </c>
      <c r="F18" s="1684">
        <f>SUM(F19:F22)</f>
        <v>3413</v>
      </c>
      <c r="G18" s="1685">
        <f>SUM(G19:G22)</f>
        <v>3563</v>
      </c>
      <c r="H18" s="1685">
        <f t="shared" ref="H18:K18" si="3">SUM(H19:H22)</f>
        <v>3713</v>
      </c>
      <c r="I18" s="1685">
        <f t="shared" si="3"/>
        <v>3853</v>
      </c>
      <c r="J18" s="1685">
        <f t="shared" si="3"/>
        <v>3933</v>
      </c>
      <c r="K18" s="1685">
        <f t="shared" si="3"/>
        <v>4023</v>
      </c>
      <c r="L18" s="1683">
        <f>SUM(L19:L22)</f>
        <v>1088</v>
      </c>
      <c r="M18" s="1684">
        <f>SUM(M19:M22)</f>
        <v>1088</v>
      </c>
      <c r="N18" s="1685">
        <f>SUM(N19:N22)</f>
        <v>2538</v>
      </c>
      <c r="O18" s="1685">
        <f t="shared" ref="O18:R18" si="4">SUM(O19:O22)</f>
        <v>2538</v>
      </c>
      <c r="P18" s="1685">
        <f t="shared" si="4"/>
        <v>2538</v>
      </c>
      <c r="Q18" s="1685">
        <f t="shared" si="4"/>
        <v>2538</v>
      </c>
      <c r="R18" s="1685">
        <f t="shared" si="4"/>
        <v>2538</v>
      </c>
      <c r="S18" s="1683">
        <f>SUM(S19:S22)</f>
        <v>233</v>
      </c>
      <c r="T18" s="1684">
        <f>SUM(T19:T22)</f>
        <v>233</v>
      </c>
      <c r="U18" s="1685">
        <f>SUM(U19:U22)</f>
        <v>233</v>
      </c>
      <c r="V18" s="1685">
        <f t="shared" ref="V18:Y18" si="5">SUM(V19:V22)</f>
        <v>483</v>
      </c>
      <c r="W18" s="1685">
        <f t="shared" si="5"/>
        <v>483</v>
      </c>
      <c r="X18" s="1685">
        <f t="shared" si="5"/>
        <v>483</v>
      </c>
      <c r="Y18" s="1686">
        <f t="shared" si="5"/>
        <v>483</v>
      </c>
      <c r="Z18" s="1672"/>
      <c r="AA18" s="1679"/>
      <c r="AB18" s="1642"/>
    </row>
    <row r="19" spans="1:28">
      <c r="A19" s="1687"/>
      <c r="B19" s="1688">
        <v>20501</v>
      </c>
      <c r="C19" s="1680">
        <v>0.08</v>
      </c>
      <c r="D19" s="2396" t="s">
        <v>582</v>
      </c>
      <c r="E19" s="2246">
        <v>1805</v>
      </c>
      <c r="F19" s="928">
        <f>E19+SUMIF('11.1.Амортиз.нови активи'!$B$11:$B$58,$B19,'11.1.Амортиз.нови активи'!F$11:F$58)+('9.Инвестиционна програма'!F$77*SUMIF('11.1.Амортиз.нови активи'!$B$11:$B$58,$B19,'11.1.Амортиз.нови активи'!AA$11:AA$58))</f>
        <v>2051</v>
      </c>
      <c r="G19" s="882">
        <f>F19+SUMIF('11.1.Амортиз.нови активи'!$B$11:$B$58,$B19,'11.1.Амортиз.нови активи'!G$11:G$58)+('9.Инвестиционна програма'!G$77*SUMIF('11.1.Амортиз.нови активи'!$B$11:$B$58,$B19,'11.1.Амортиз.нови активи'!AB$11:AB$58))</f>
        <v>2151</v>
      </c>
      <c r="H19" s="882">
        <f>G19+SUMIF('11.1.Амортиз.нови активи'!$B$11:$B$58,$B19,'11.1.Амортиз.нови активи'!H$11:H$58)+('9.Инвестиционна програма'!H$77*SUMIF('11.1.Амортиз.нови активи'!$B$11:$B$58,$B19,'11.1.Амортиз.нови активи'!AC$11:AC$58))</f>
        <v>2231</v>
      </c>
      <c r="I19" s="882">
        <f>H19+SUMIF('11.1.Амортиз.нови активи'!$B$11:$B$58,$B19,'11.1.Амортиз.нови активи'!I$11:I$58)+('9.Инвестиционна програма'!I$77*SUMIF('11.1.Амортиз.нови активи'!$B$11:$B$58,$B19,'11.1.Амортиз.нови активи'!AD$11:AD$58))</f>
        <v>2321</v>
      </c>
      <c r="J19" s="882">
        <f>I19+SUMIF('11.1.Амортиз.нови активи'!$B$11:$B$58,$B19,'11.1.Амортиз.нови активи'!J$11:J$58)+('9.Инвестиционна програма'!J$77*SUMIF('11.1.Амортиз.нови активи'!$B$11:$B$58,$B19,'11.1.Амортиз.нови активи'!AE$11:AE$58))</f>
        <v>2371</v>
      </c>
      <c r="K19" s="883">
        <f>J19+SUMIF('11.1.Амортиз.нови активи'!$B$11:$B$58,$B19,'11.1.Амортиз.нови активи'!K$11:K$58)+('9.Инвестиционна програма'!K$77*SUMIF('11.1.Амортиз.нови активи'!$B$11:$B$58,$B19,'11.1.Амортиз.нови активи'!AF$11:AF$58))</f>
        <v>2421</v>
      </c>
      <c r="L19" s="2246">
        <v>1061</v>
      </c>
      <c r="M19" s="881">
        <f>L19+SUMIF('11.1.Амортиз.нови активи'!$B$11:$B$58,$B19,'11.1.Амортиз.нови активи'!M$11:M$58)+('9.Инвестиционна програма'!F$78*SUMIF('11.1.Амортиз.нови активи'!$B$11:$B$58,$B19,'11.1.Амортиз.нови активи'!AA$11:AA$58))</f>
        <v>1061</v>
      </c>
      <c r="N19" s="882">
        <f>M19+SUMIF('11.1.Амортиз.нови активи'!$B$11:$B$58,$B19,'11.1.Амортиз.нови активи'!N$11:N$58)+('9.Инвестиционна програма'!G$78*SUMIF('11.1.Амортиз.нови активи'!$B$11:$B$58,$B19,'11.1.Амортиз.нови активи'!AB$11:AB$58))</f>
        <v>1311</v>
      </c>
      <c r="O19" s="882">
        <f>N19+SUMIF('11.1.Амортиз.нови активи'!$B$11:$B$58,$B19,'11.1.Амортиз.нови активи'!O$11:O$58)+('9.Инвестиционна програма'!H$78*SUMIF('11.1.Амортиз.нови активи'!$B$11:$B$58,$B19,'11.1.Амортиз.нови активи'!AC$11:AC$58))</f>
        <v>1311</v>
      </c>
      <c r="P19" s="882">
        <f>O19+SUMIF('11.1.Амортиз.нови активи'!$B$11:$B$58,$B19,'11.1.Амортиз.нови активи'!P$11:P$58)+('9.Инвестиционна програма'!I$78*SUMIF('11.1.Амортиз.нови активи'!$B$11:$B$58,$B19,'11.1.Амортиз.нови активи'!AD$11:AD$58))</f>
        <v>1311</v>
      </c>
      <c r="Q19" s="882">
        <f>P19+SUMIF('11.1.Амортиз.нови активи'!$B$11:$B$58,$B19,'11.1.Амортиз.нови активи'!Q$11:Q$58)+('9.Инвестиционна програма'!J$78*SUMIF('11.1.Амортиз.нови активи'!$B$11:$B$58,$B19,'11.1.Амортиз.нови активи'!AE$11:AE$58))</f>
        <v>1311</v>
      </c>
      <c r="R19" s="883">
        <f>Q19+SUMIF('11.1.Амортиз.нови активи'!$B$11:$B$58,$B19,'11.1.Амортиз.нови активи'!R$11:R$58)+('9.Инвестиционна програма'!K$78*SUMIF('11.1.Амортиз.нови активи'!$B$11:$B$58,$B19,'11.1.Амортиз.нови активи'!AF$11:AF$58))</f>
        <v>1311</v>
      </c>
      <c r="S19" s="2246">
        <v>97</v>
      </c>
      <c r="T19" s="881">
        <f>S19+SUMIF('11.1.Амортиз.нови активи'!$B$11:$B$58,$B19,'11.1.Амортиз.нови активи'!T$11:T$58)+('9.Инвестиционна програма'!F$79*SUMIF('11.1.Амортиз.нови активи'!$B$11:$B$58,$B19,'11.1.Амортиз.нови активи'!AA$11:AA$58))</f>
        <v>97</v>
      </c>
      <c r="U19" s="882">
        <f>T19+SUMIF('11.1.Амортиз.нови активи'!$B$11:$B$58,$B19,'11.1.Амортиз.нови активи'!U$11:U$58)+('9.Инвестиционна програма'!G$79*SUMIF('11.1.Амортиз.нови активи'!$B$11:$B$58,$B19,'11.1.Амортиз.нови активи'!AB$11:AB$58))</f>
        <v>97</v>
      </c>
      <c r="V19" s="882">
        <f>U19+SUMIF('11.1.Амортиз.нови активи'!$B$11:$B$58,$B19,'11.1.Амортиз.нови активи'!V$11:V$58)+('9.Инвестиционна програма'!H$79*SUMIF('11.1.Амортиз.нови активи'!$B$11:$B$58,$B19,'11.1.Амортиз.нови активи'!AC$11:AC$58))</f>
        <v>347</v>
      </c>
      <c r="W19" s="882">
        <f>V19+SUMIF('11.1.Амортиз.нови активи'!$B$11:$B$58,$B19,'11.1.Амортиз.нови активи'!W$11:W$58)+('9.Инвестиционна програма'!I$79*SUMIF('11.1.Амортиз.нови активи'!$B$11:$B$58,$B19,'11.1.Амортиз.нови активи'!AD$11:AD$58))</f>
        <v>347</v>
      </c>
      <c r="X19" s="882">
        <f>W19+SUMIF('11.1.Амортиз.нови активи'!$B$11:$B$58,$B19,'11.1.Амортиз.нови активи'!X$11:X$58)+('9.Инвестиционна програма'!J$79*SUMIF('11.1.Амортиз.нови активи'!$B$11:$B$58,$B19,'11.1.Амортиз.нови активи'!AE$11:AE$58))</f>
        <v>347</v>
      </c>
      <c r="Y19" s="883">
        <f>X19+SUMIF('11.1.Амортиз.нови активи'!$B$11:$B$58,$B19,'11.1.Амортиз.нови активи'!Y$11:Y$58)+('9.Инвестиционна програма'!K$79*SUMIF('11.1.Амортиз.нови активи'!$B$11:$B$58,$B19,'11.1.Амортиз.нови активи'!AF$11:AF$58))</f>
        <v>347</v>
      </c>
      <c r="Z19" s="1672"/>
      <c r="AA19" s="1679"/>
      <c r="AB19" s="1642"/>
    </row>
    <row r="20" spans="1:28">
      <c r="A20" s="1687"/>
      <c r="B20" s="1688">
        <v>20502</v>
      </c>
      <c r="C20" s="1680">
        <v>0.1</v>
      </c>
      <c r="D20" s="2396" t="s">
        <v>583</v>
      </c>
      <c r="E20" s="2246">
        <v>776</v>
      </c>
      <c r="F20" s="928">
        <f>E20+SUMIF('11.1.Амортиз.нови активи'!$B$11:$B$58,$B20,'11.1.Амортиз.нови активи'!F$11:F$58)+('9.Инвестиционна програма'!F$77*SUMIF('11.1.Амортиз.нови активи'!$B$11:$B$58,$B20,'11.1.Амортиз.нови активи'!AA$11:AA$58))</f>
        <v>880</v>
      </c>
      <c r="G20" s="882">
        <f>F20+SUMIF('11.1.Амортиз.нови активи'!$B$11:$B$58,$B20,'11.1.Амортиз.нови активи'!G$11:G$58)+('9.Инвестиционна програма'!G$77*SUMIF('11.1.Амортиз.нови активи'!$B$11:$B$58,$B20,'11.1.Амортиз.нови активи'!AB$11:AB$58))</f>
        <v>930</v>
      </c>
      <c r="H20" s="882">
        <f>G20+SUMIF('11.1.Амортиз.нови активи'!$B$11:$B$58,$B20,'11.1.Амортиз.нови активи'!H$11:H$58)+('9.Инвестиционна програма'!H$77*SUMIF('11.1.Амортиз.нови активи'!$B$11:$B$58,$B20,'11.1.Амортиз.нови активи'!AC$11:AC$58))</f>
        <v>1000</v>
      </c>
      <c r="I20" s="882">
        <f>H20+SUMIF('11.1.Амортиз.нови активи'!$B$11:$B$58,$B20,'11.1.Амортиз.нови активи'!I$11:I$58)+('9.Инвестиционна програма'!I$77*SUMIF('11.1.Амортиз.нови активи'!$B$11:$B$58,$B20,'11.1.Амортиз.нови активи'!AD$11:AD$58))</f>
        <v>1050</v>
      </c>
      <c r="J20" s="882">
        <f>I20+SUMIF('11.1.Амортиз.нови активи'!$B$11:$B$58,$B20,'11.1.Амортиз.нови активи'!J$11:J$58)+('9.Инвестиционна програма'!J$77*SUMIF('11.1.Амортиз.нови активи'!$B$11:$B$58,$B20,'11.1.Амортиз.нови активи'!AE$11:AE$58))</f>
        <v>1080</v>
      </c>
      <c r="K20" s="883">
        <f>J20+SUMIF('11.1.Амортиз.нови активи'!$B$11:$B$58,$B20,'11.1.Амортиз.нови активи'!K$11:K$58)+('9.Инвестиционна програма'!K$77*SUMIF('11.1.Амортиз.нови активи'!$B$11:$B$58,$B20,'11.1.Амортиз.нови активи'!AF$11:AF$58))</f>
        <v>1120</v>
      </c>
      <c r="L20" s="2246">
        <v>17</v>
      </c>
      <c r="M20" s="881">
        <f>L20+SUMIF('11.1.Амортиз.нови активи'!$B$11:$B$58,$B20,'11.1.Амортиз.нови активи'!M$11:M$58)+('9.Инвестиционна програма'!F$78*SUMIF('11.1.Амортиз.нови активи'!$B$11:$B$58,$B20,'11.1.Амортиз.нови активи'!AA$11:AA$58))</f>
        <v>17</v>
      </c>
      <c r="N20" s="882">
        <f>M20+SUMIF('11.1.Амортиз.нови активи'!$B$11:$B$58,$B20,'11.1.Амортиз.нови активи'!N$11:N$58)+('9.Инвестиционна програма'!G$78*SUMIF('11.1.Амортиз.нови активи'!$B$11:$B$58,$B20,'11.1.Амортиз.нови активи'!AB$11:AB$58))</f>
        <v>17</v>
      </c>
      <c r="O20" s="882">
        <f>N20+SUMIF('11.1.Амортиз.нови активи'!$B$11:$B$58,$B20,'11.1.Амортиз.нови активи'!O$11:O$58)+('9.Инвестиционна програма'!H$78*SUMIF('11.1.Амортиз.нови активи'!$B$11:$B$58,$B20,'11.1.Амортиз.нови активи'!AC$11:AC$58))</f>
        <v>17</v>
      </c>
      <c r="P20" s="882">
        <f>O20+SUMIF('11.1.Амортиз.нови активи'!$B$11:$B$58,$B20,'11.1.Амортиз.нови активи'!P$11:P$58)+('9.Инвестиционна програма'!I$78*SUMIF('11.1.Амортиз.нови активи'!$B$11:$B$58,$B20,'11.1.Амортиз.нови активи'!AD$11:AD$58))</f>
        <v>17</v>
      </c>
      <c r="Q20" s="882">
        <f>P20+SUMIF('11.1.Амортиз.нови активи'!$B$11:$B$58,$B20,'11.1.Амортиз.нови активи'!Q$11:Q$58)+('9.Инвестиционна програма'!J$78*SUMIF('11.1.Амортиз.нови активи'!$B$11:$B$58,$B20,'11.1.Амортиз.нови активи'!AE$11:AE$58))</f>
        <v>17</v>
      </c>
      <c r="R20" s="883">
        <f>Q20+SUMIF('11.1.Амортиз.нови активи'!$B$11:$B$58,$B20,'11.1.Амортиз.нови активи'!R$11:R$58)+('9.Инвестиционна програма'!K$78*SUMIF('11.1.Амортиз.нови активи'!$B$11:$B$58,$B20,'11.1.Амортиз.нови активи'!AF$11:AF$58))</f>
        <v>17</v>
      </c>
      <c r="S20" s="2246">
        <v>112</v>
      </c>
      <c r="T20" s="881">
        <f>S20+SUMIF('11.1.Амортиз.нови активи'!$B$11:$B$58,$B20,'11.1.Амортиз.нови активи'!T$11:T$58)+('9.Инвестиционна програма'!F$79*SUMIF('11.1.Амортиз.нови активи'!$B$11:$B$58,$B20,'11.1.Амортиз.нови активи'!AA$11:AA$58))</f>
        <v>112</v>
      </c>
      <c r="U20" s="882">
        <f>T20+SUMIF('11.1.Амортиз.нови активи'!$B$11:$B$58,$B20,'11.1.Амортиз.нови активи'!U$11:U$58)+('9.Инвестиционна програма'!G$79*SUMIF('11.1.Амортиз.нови активи'!$B$11:$B$58,$B20,'11.1.Амортиз.нови активи'!AB$11:AB$58))</f>
        <v>112</v>
      </c>
      <c r="V20" s="882">
        <f>U20+SUMIF('11.1.Амортиз.нови активи'!$B$11:$B$58,$B20,'11.1.Амортиз.нови активи'!V$11:V$58)+('9.Инвестиционна програма'!H$79*SUMIF('11.1.Амортиз.нови активи'!$B$11:$B$58,$B20,'11.1.Амортиз.нови активи'!AC$11:AC$58))</f>
        <v>112</v>
      </c>
      <c r="W20" s="882">
        <f>V20+SUMIF('11.1.Амортиз.нови активи'!$B$11:$B$58,$B20,'11.1.Амортиз.нови активи'!W$11:W$58)+('9.Инвестиционна програма'!I$79*SUMIF('11.1.Амортиз.нови активи'!$B$11:$B$58,$B20,'11.1.Амортиз.нови активи'!AD$11:AD$58))</f>
        <v>112</v>
      </c>
      <c r="X20" s="882">
        <f>W20+SUMIF('11.1.Амортиз.нови активи'!$B$11:$B$58,$B20,'11.1.Амортиз.нови активи'!X$11:X$58)+('9.Инвестиционна програма'!J$79*SUMIF('11.1.Амортиз.нови активи'!$B$11:$B$58,$B20,'11.1.Амортиз.нови активи'!AE$11:AE$58))</f>
        <v>112</v>
      </c>
      <c r="Y20" s="883">
        <f>X20+SUMIF('11.1.Амортиз.нови активи'!$B$11:$B$58,$B20,'11.1.Амортиз.нови активи'!Y$11:Y$58)+('9.Инвестиционна програма'!K$79*SUMIF('11.1.Амортиз.нови активи'!$B$11:$B$58,$B20,'11.1.Амортиз.нови активи'!AF$11:AF$58))</f>
        <v>112</v>
      </c>
      <c r="Z20" s="1672"/>
      <c r="AA20" s="1679"/>
      <c r="AB20" s="1642"/>
    </row>
    <row r="21" spans="1:28">
      <c r="A21" s="1687"/>
      <c r="B21" s="1688">
        <v>20503</v>
      </c>
      <c r="C21" s="1680">
        <v>0.1</v>
      </c>
      <c r="D21" s="2394" t="s">
        <v>584</v>
      </c>
      <c r="E21" s="2246">
        <v>400</v>
      </c>
      <c r="F21" s="928">
        <f>E21+SUMIF('11.1.Амортиз.нови активи'!$B$11:$B$58,$B21,'11.1.Амортиз.нови активи'!F$11:F$58)+('9.Инвестиционна програма'!F$77*SUMIF('11.1.Амортиз.нови активи'!$B$11:$B$58,$B21,'11.1.Амортиз.нови активи'!AA$11:AA$58))</f>
        <v>400</v>
      </c>
      <c r="G21" s="882">
        <f>F21+SUMIF('11.1.Амортиз.нови активи'!$B$11:$B$58,$B21,'11.1.Амортиз.нови активи'!G$11:G$58)+('9.Инвестиционна програма'!G$77*SUMIF('11.1.Амортиз.нови активи'!$B$11:$B$58,$B21,'11.1.Амортиз.нови активи'!AB$11:AB$58))</f>
        <v>400</v>
      </c>
      <c r="H21" s="882">
        <f>G21+SUMIF('11.1.Амортиз.нови активи'!$B$11:$B$58,$B21,'11.1.Амортиз.нови активи'!H$11:H$58)+('9.Инвестиционна програма'!H$77*SUMIF('11.1.Амортиз.нови активи'!$B$11:$B$58,$B21,'11.1.Амортиз.нови активи'!AC$11:AC$58))</f>
        <v>400</v>
      </c>
      <c r="I21" s="882">
        <f>H21+SUMIF('11.1.Амортиз.нови активи'!$B$11:$B$58,$B21,'11.1.Амортиз.нови активи'!I$11:I$58)+('9.Инвестиционна програма'!I$77*SUMIF('11.1.Амортиз.нови активи'!$B$11:$B$58,$B21,'11.1.Амортиз.нови активи'!AD$11:AD$58))</f>
        <v>400</v>
      </c>
      <c r="J21" s="882">
        <f>I21+SUMIF('11.1.Амортиз.нови активи'!$B$11:$B$58,$B21,'11.1.Амортиз.нови активи'!J$11:J$58)+('9.Инвестиционна програма'!J$77*SUMIF('11.1.Амортиз.нови активи'!$B$11:$B$58,$B21,'11.1.Амортиз.нови активи'!AE$11:AE$58))</f>
        <v>400</v>
      </c>
      <c r="K21" s="883">
        <f>J21+SUMIF('11.1.Амортиз.нови активи'!$B$11:$B$58,$B21,'11.1.Амортиз.нови активи'!K$11:K$58)+('9.Инвестиционна програма'!K$77*SUMIF('11.1.Амортиз.нови активи'!$B$11:$B$58,$B21,'11.1.Амортиз.нови активи'!AF$11:AF$58))</f>
        <v>400</v>
      </c>
      <c r="L21" s="2246">
        <v>8</v>
      </c>
      <c r="M21" s="881">
        <f>L21+SUMIF('11.1.Амортиз.нови активи'!$B$11:$B$58,$B21,'11.1.Амортиз.нови активи'!M$11:M$58)+('9.Инвестиционна програма'!F$78*SUMIF('11.1.Амортиз.нови активи'!$B$11:$B$58,$B21,'11.1.Амортиз.нови активи'!AA$11:AA$58))</f>
        <v>8</v>
      </c>
      <c r="N21" s="882">
        <f>M21+SUMIF('11.1.Амортиз.нови активи'!$B$11:$B$58,$B21,'11.1.Амортиз.нови активи'!N$11:N$58)+('9.Инвестиционна програма'!G$78*SUMIF('11.1.Амортиз.нови активи'!$B$11:$B$58,$B21,'11.1.Амортиз.нови активи'!AB$11:AB$58))</f>
        <v>1208</v>
      </c>
      <c r="O21" s="882">
        <f>N21+SUMIF('11.1.Амортиз.нови активи'!$B$11:$B$58,$B21,'11.1.Амортиз.нови активи'!O$11:O$58)+('9.Инвестиционна програма'!H$78*SUMIF('11.1.Амортиз.нови активи'!$B$11:$B$58,$B21,'11.1.Амортиз.нови активи'!AC$11:AC$58))</f>
        <v>1208</v>
      </c>
      <c r="P21" s="882">
        <f>O21+SUMIF('11.1.Амортиз.нови активи'!$B$11:$B$58,$B21,'11.1.Амортиз.нови активи'!P$11:P$58)+('9.Инвестиционна програма'!I$78*SUMIF('11.1.Амортиз.нови активи'!$B$11:$B$58,$B21,'11.1.Амортиз.нови активи'!AD$11:AD$58))</f>
        <v>1208</v>
      </c>
      <c r="Q21" s="882">
        <f>P21+SUMIF('11.1.Амортиз.нови активи'!$B$11:$B$58,$B21,'11.1.Амортиз.нови активи'!Q$11:Q$58)+('9.Инвестиционна програма'!J$78*SUMIF('11.1.Амортиз.нови активи'!$B$11:$B$58,$B21,'11.1.Амортиз.нови активи'!AE$11:AE$58))</f>
        <v>1208</v>
      </c>
      <c r="R21" s="883">
        <f>Q21+SUMIF('11.1.Амортиз.нови активи'!$B$11:$B$58,$B21,'11.1.Амортиз.нови активи'!R$11:R$58)+('9.Инвестиционна програма'!K$78*SUMIF('11.1.Амортиз.нови активи'!$B$11:$B$58,$B21,'11.1.Амортиз.нови активи'!AF$11:AF$58))</f>
        <v>1208</v>
      </c>
      <c r="S21" s="2246">
        <v>20</v>
      </c>
      <c r="T21" s="881">
        <f>S21+SUMIF('11.1.Амортиз.нови активи'!$B$11:$B$58,$B21,'11.1.Амортиз.нови активи'!T$11:T$58)+('9.Инвестиционна програма'!F$79*SUMIF('11.1.Амортиз.нови активи'!$B$11:$B$58,$B21,'11.1.Амортиз.нови активи'!AA$11:AA$58))</f>
        <v>20</v>
      </c>
      <c r="U21" s="882">
        <f>T21+SUMIF('11.1.Амортиз.нови активи'!$B$11:$B$58,$B21,'11.1.Амортиз.нови активи'!U$11:U$58)+('9.Инвестиционна програма'!G$79*SUMIF('11.1.Амортиз.нови активи'!$B$11:$B$58,$B21,'11.1.Амортиз.нови активи'!AB$11:AB$58))</f>
        <v>20</v>
      </c>
      <c r="V21" s="882">
        <f>U21+SUMIF('11.1.Амортиз.нови активи'!$B$11:$B$58,$B21,'11.1.Амортиз.нови активи'!V$11:V$58)+('9.Инвестиционна програма'!H$79*SUMIF('11.1.Амортиз.нови активи'!$B$11:$B$58,$B21,'11.1.Амортиз.нови активи'!AC$11:AC$58))</f>
        <v>20</v>
      </c>
      <c r="W21" s="882">
        <f>V21+SUMIF('11.1.Амортиз.нови активи'!$B$11:$B$58,$B21,'11.1.Амортиз.нови активи'!W$11:W$58)+('9.Инвестиционна програма'!I$79*SUMIF('11.1.Амортиз.нови активи'!$B$11:$B$58,$B21,'11.1.Амортиз.нови активи'!AD$11:AD$58))</f>
        <v>20</v>
      </c>
      <c r="X21" s="882">
        <f>W21+SUMIF('11.1.Амортиз.нови активи'!$B$11:$B$58,$B21,'11.1.Амортиз.нови активи'!X$11:X$58)+('9.Инвестиционна програма'!J$79*SUMIF('11.1.Амортиз.нови активи'!$B$11:$B$58,$B21,'11.1.Амортиз.нови активи'!AE$11:AE$58))</f>
        <v>20</v>
      </c>
      <c r="Y21" s="883">
        <f>X21+SUMIF('11.1.Амортиз.нови активи'!$B$11:$B$58,$B21,'11.1.Амортиз.нови активи'!Y$11:Y$58)+('9.Инвестиционна програма'!K$79*SUMIF('11.1.Амортиз.нови активи'!$B$11:$B$58,$B21,'11.1.Амортиз.нови активи'!AF$11:AF$58))</f>
        <v>20</v>
      </c>
      <c r="Z21" s="1672"/>
      <c r="AA21" s="1679"/>
      <c r="AB21" s="1642"/>
    </row>
    <row r="22" spans="1:28">
      <c r="A22" s="1687"/>
      <c r="B22" s="1688">
        <v>20504</v>
      </c>
      <c r="C22" s="1680">
        <v>0.1</v>
      </c>
      <c r="D22" s="2394" t="s">
        <v>759</v>
      </c>
      <c r="E22" s="2246">
        <v>82</v>
      </c>
      <c r="F22" s="928">
        <f>E22+SUMIF('11.1.Амортиз.нови активи'!$B$11:$B$58,$B22,'11.1.Амортиз.нови активи'!F$11:F$58)+('9.Инвестиционна програма'!F$77*SUMIF('11.1.Амортиз.нови активи'!$B$11:$B$58,$B22,'11.1.Амортиз.нови активи'!AA$11:AA$58))</f>
        <v>82</v>
      </c>
      <c r="G22" s="882">
        <f>F22+SUMIF('11.1.Амортиз.нови активи'!$B$11:$B$58,$B22,'11.1.Амортиз.нови активи'!G$11:G$58)+('9.Инвестиционна програма'!G$77*SUMIF('11.1.Амортиз.нови активи'!$B$11:$B$58,$B22,'11.1.Амортиз.нови активи'!AB$11:AB$58))</f>
        <v>82</v>
      </c>
      <c r="H22" s="882">
        <f>G22+SUMIF('11.1.Амортиз.нови активи'!$B$11:$B$58,$B22,'11.1.Амортиз.нови активи'!H$11:H$58)+('9.Инвестиционна програма'!H$77*SUMIF('11.1.Амортиз.нови активи'!$B$11:$B$58,$B22,'11.1.Амортиз.нови активи'!AC$11:AC$58))</f>
        <v>82</v>
      </c>
      <c r="I22" s="882">
        <f>H22+SUMIF('11.1.Амортиз.нови активи'!$B$11:$B$58,$B22,'11.1.Амортиз.нови активи'!I$11:I$58)+('9.Инвестиционна програма'!I$77*SUMIF('11.1.Амортиз.нови активи'!$B$11:$B$58,$B22,'11.1.Амортиз.нови активи'!AD$11:AD$58))</f>
        <v>82</v>
      </c>
      <c r="J22" s="882">
        <f>I22+SUMIF('11.1.Амортиз.нови активи'!$B$11:$B$58,$B22,'11.1.Амортиз.нови активи'!J$11:J$58)+('9.Инвестиционна програма'!J$77*SUMIF('11.1.Амортиз.нови активи'!$B$11:$B$58,$B22,'11.1.Амортиз.нови активи'!AE$11:AE$58))</f>
        <v>82</v>
      </c>
      <c r="K22" s="883">
        <f>J22+SUMIF('11.1.Амортиз.нови активи'!$B$11:$B$58,$B22,'11.1.Амортиз.нови активи'!K$11:K$58)+('9.Инвестиционна програма'!K$77*SUMIF('11.1.Амортиз.нови активи'!$B$11:$B$58,$B22,'11.1.Амортиз.нови активи'!AF$11:AF$58))</f>
        <v>82</v>
      </c>
      <c r="L22" s="2246">
        <v>2</v>
      </c>
      <c r="M22" s="881">
        <f>L22+SUMIF('11.1.Амортиз.нови активи'!$B$11:$B$58,$B22,'11.1.Амортиз.нови активи'!M$11:M$58)+('9.Инвестиционна програма'!F$78*SUMIF('11.1.Амортиз.нови активи'!$B$11:$B$58,$B22,'11.1.Амортиз.нови активи'!AA$11:AA$58))</f>
        <v>2</v>
      </c>
      <c r="N22" s="882">
        <f>M22+SUMIF('11.1.Амортиз.нови активи'!$B$11:$B$58,$B22,'11.1.Амортиз.нови активи'!N$11:N$58)+('9.Инвестиционна програма'!G$78*SUMIF('11.1.Амортиз.нови активи'!$B$11:$B$58,$B22,'11.1.Амортиз.нови активи'!AB$11:AB$58))</f>
        <v>2</v>
      </c>
      <c r="O22" s="882">
        <f>N22+SUMIF('11.1.Амортиз.нови активи'!$B$11:$B$58,$B22,'11.1.Амортиз.нови активи'!O$11:O$58)+('9.Инвестиционна програма'!H$78*SUMIF('11.1.Амортиз.нови активи'!$B$11:$B$58,$B22,'11.1.Амортиз.нови активи'!AC$11:AC$58))</f>
        <v>2</v>
      </c>
      <c r="P22" s="882">
        <f>O22+SUMIF('11.1.Амортиз.нови активи'!$B$11:$B$58,$B22,'11.1.Амортиз.нови активи'!P$11:P$58)+('9.Инвестиционна програма'!I$78*SUMIF('11.1.Амортиз.нови активи'!$B$11:$B$58,$B22,'11.1.Амортиз.нови активи'!AD$11:AD$58))</f>
        <v>2</v>
      </c>
      <c r="Q22" s="882">
        <f>P22+SUMIF('11.1.Амортиз.нови активи'!$B$11:$B$58,$B22,'11.1.Амортиз.нови активи'!Q$11:Q$58)+('9.Инвестиционна програма'!J$78*SUMIF('11.1.Амортиз.нови активи'!$B$11:$B$58,$B22,'11.1.Амортиз.нови активи'!AE$11:AE$58))</f>
        <v>2</v>
      </c>
      <c r="R22" s="883">
        <f>Q22+SUMIF('11.1.Амортиз.нови активи'!$B$11:$B$58,$B22,'11.1.Амортиз.нови активи'!R$11:R$58)+('9.Инвестиционна програма'!K$78*SUMIF('11.1.Амортиз.нови активи'!$B$11:$B$58,$B22,'11.1.Амортиз.нови активи'!AF$11:AF$58))</f>
        <v>2</v>
      </c>
      <c r="S22" s="2246">
        <v>4</v>
      </c>
      <c r="T22" s="881">
        <f>S22+SUMIF('11.1.Амортиз.нови активи'!$B$11:$B$58,$B22,'11.1.Амортиз.нови активи'!T$11:T$58)+('9.Инвестиционна програма'!F$79*SUMIF('11.1.Амортиз.нови активи'!$B$11:$B$58,$B22,'11.1.Амортиз.нови активи'!AA$11:AA$58))</f>
        <v>4</v>
      </c>
      <c r="U22" s="882">
        <f>T22+SUMIF('11.1.Амортиз.нови активи'!$B$11:$B$58,$B22,'11.1.Амортиз.нови активи'!U$11:U$58)+('9.Инвестиционна програма'!G$79*SUMIF('11.1.Амортиз.нови активи'!$B$11:$B$58,$B22,'11.1.Амортиз.нови активи'!AB$11:AB$58))</f>
        <v>4</v>
      </c>
      <c r="V22" s="882">
        <f>U22+SUMIF('11.1.Амортиз.нови активи'!$B$11:$B$58,$B22,'11.1.Амортиз.нови активи'!V$11:V$58)+('9.Инвестиционна програма'!H$79*SUMIF('11.1.Амортиз.нови активи'!$B$11:$B$58,$B22,'11.1.Амортиз.нови активи'!AC$11:AC$58))</f>
        <v>4</v>
      </c>
      <c r="W22" s="882">
        <f>V22+SUMIF('11.1.Амортиз.нови активи'!$B$11:$B$58,$B22,'11.1.Амортиз.нови активи'!W$11:W$58)+('9.Инвестиционна програма'!I$79*SUMIF('11.1.Амортиз.нови активи'!$B$11:$B$58,$B22,'11.1.Амортиз.нови активи'!AD$11:AD$58))</f>
        <v>4</v>
      </c>
      <c r="X22" s="882">
        <f>W22+SUMIF('11.1.Амортиз.нови активи'!$B$11:$B$58,$B22,'11.1.Амортиз.нови активи'!X$11:X$58)+('9.Инвестиционна програма'!J$79*SUMIF('11.1.Амортиз.нови активи'!$B$11:$B$58,$B22,'11.1.Амортиз.нови активи'!AE$11:AE$58))</f>
        <v>4</v>
      </c>
      <c r="Y22" s="883">
        <f>X22+SUMIF('11.1.Амортиз.нови активи'!$B$11:$B$58,$B22,'11.1.Амортиз.нови активи'!Y$11:Y$58)+('9.Инвестиционна програма'!K$79*SUMIF('11.1.Амортиз.нови активи'!$B$11:$B$58,$B22,'11.1.Амортиз.нови активи'!AF$11:AF$58))</f>
        <v>4</v>
      </c>
      <c r="Z22" s="1672"/>
      <c r="AA22" s="1679"/>
      <c r="AB22" s="1642"/>
    </row>
    <row r="23" spans="1:28">
      <c r="A23" s="1687">
        <v>6</v>
      </c>
      <c r="B23" s="1688">
        <v>208</v>
      </c>
      <c r="C23" s="1680">
        <v>0.2</v>
      </c>
      <c r="D23" s="2395" t="s">
        <v>585</v>
      </c>
      <c r="E23" s="2246">
        <v>229</v>
      </c>
      <c r="F23" s="928">
        <f>E23+SUMIF('11.1.Амортиз.нови активи'!$B$11:$B$58,$B23,'11.1.Амортиз.нови активи'!F$11:F$58)+('9.Инвестиционна програма'!F$77*SUMIF('11.1.Амортиз.нови активи'!$B$11:$B$58,$B23,'11.1.Амортиз.нови активи'!AA$11:AA$58))</f>
        <v>229</v>
      </c>
      <c r="G23" s="882">
        <f>F23+SUMIF('11.1.Амортиз.нови активи'!$B$11:$B$58,$B23,'11.1.Амортиз.нови активи'!G$11:G$58)+('9.Инвестиционна програма'!G$77*SUMIF('11.1.Амортиз.нови активи'!$B$11:$B$58,$B23,'11.1.Амортиз.нови активи'!AB$11:AB$58))</f>
        <v>229</v>
      </c>
      <c r="H23" s="882">
        <f>G23+SUMIF('11.1.Амортиз.нови активи'!$B$11:$B$58,$B23,'11.1.Амортиз.нови активи'!H$11:H$58)+('9.Инвестиционна програма'!H$77*SUMIF('11.1.Амортиз.нови активи'!$B$11:$B$58,$B23,'11.1.Амортиз.нови активи'!AC$11:AC$58))</f>
        <v>229</v>
      </c>
      <c r="I23" s="882">
        <f>H23+SUMIF('11.1.Амортиз.нови активи'!$B$11:$B$58,$B23,'11.1.Амортиз.нови активи'!I$11:I$58)+('9.Инвестиционна програма'!I$77*SUMIF('11.1.Амортиз.нови активи'!$B$11:$B$58,$B23,'11.1.Амортиз.нови активи'!AD$11:AD$58))</f>
        <v>229</v>
      </c>
      <c r="J23" s="882">
        <f>I23+SUMIF('11.1.Амортиз.нови активи'!$B$11:$B$58,$B23,'11.1.Амортиз.нови активи'!J$11:J$58)+('9.Инвестиционна програма'!J$77*SUMIF('11.1.Амортиз.нови активи'!$B$11:$B$58,$B23,'11.1.Амортиз.нови активи'!AE$11:AE$58))</f>
        <v>229</v>
      </c>
      <c r="K23" s="883">
        <f>J23+SUMIF('11.1.Амортиз.нови активи'!$B$11:$B$58,$B23,'11.1.Амортиз.нови активи'!K$11:K$58)+('9.Инвестиционна програма'!K$77*SUMIF('11.1.Амортиз.нови активи'!$B$11:$B$58,$B23,'11.1.Амортиз.нови активи'!AF$11:AF$58))</f>
        <v>229</v>
      </c>
      <c r="L23" s="2246">
        <v>3</v>
      </c>
      <c r="M23" s="881">
        <f>L23+SUMIF('11.1.Амортиз.нови активи'!$B$11:$B$58,$B23,'11.1.Амортиз.нови активи'!M$11:M$58)+('9.Инвестиционна програма'!F$78*SUMIF('11.1.Амортиз.нови активи'!$B$11:$B$58,$B23,'11.1.Амортиз.нови активи'!AA$11:AA$58))</f>
        <v>3</v>
      </c>
      <c r="N23" s="882">
        <f>M23+SUMIF('11.1.Амортиз.нови активи'!$B$11:$B$58,$B23,'11.1.Амортиз.нови активи'!N$11:N$58)+('9.Инвестиционна програма'!G$78*SUMIF('11.1.Амортиз.нови активи'!$B$11:$B$58,$B23,'11.1.Амортиз.нови активи'!AB$11:AB$58))</f>
        <v>3</v>
      </c>
      <c r="O23" s="882">
        <f>N23+SUMIF('11.1.Амортиз.нови активи'!$B$11:$B$58,$B23,'11.1.Амортиз.нови активи'!O$11:O$58)+('9.Инвестиционна програма'!H$78*SUMIF('11.1.Амортиз.нови активи'!$B$11:$B$58,$B23,'11.1.Амортиз.нови активи'!AC$11:AC$58))</f>
        <v>3</v>
      </c>
      <c r="P23" s="882">
        <f>O23+SUMIF('11.1.Амортиз.нови активи'!$B$11:$B$58,$B23,'11.1.Амортиз.нови активи'!P$11:P$58)+('9.Инвестиционна програма'!I$78*SUMIF('11.1.Амортиз.нови активи'!$B$11:$B$58,$B23,'11.1.Амортиз.нови активи'!AD$11:AD$58))</f>
        <v>3</v>
      </c>
      <c r="Q23" s="882">
        <f>P23+SUMIF('11.1.Амортиз.нови активи'!$B$11:$B$58,$B23,'11.1.Амортиз.нови активи'!Q$11:Q$58)+('9.Инвестиционна програма'!J$78*SUMIF('11.1.Амортиз.нови активи'!$B$11:$B$58,$B23,'11.1.Амортиз.нови активи'!AE$11:AE$58))</f>
        <v>3</v>
      </c>
      <c r="R23" s="883">
        <f>Q23+SUMIF('11.1.Амортиз.нови активи'!$B$11:$B$58,$B23,'11.1.Амортиз.нови активи'!R$11:R$58)+('9.Инвестиционна програма'!K$78*SUMIF('11.1.Амортиз.нови активи'!$B$11:$B$58,$B23,'11.1.Амортиз.нови активи'!AF$11:AF$58))</f>
        <v>3</v>
      </c>
      <c r="S23" s="2246">
        <v>12</v>
      </c>
      <c r="T23" s="881">
        <f>S23+SUMIF('11.1.Амортиз.нови активи'!$B$11:$B$58,$B23,'11.1.Амортиз.нови активи'!T$11:T$58)+('9.Инвестиционна програма'!F$79*SUMIF('11.1.Амортиз.нови активи'!$B$11:$B$58,$B23,'11.1.Амортиз.нови активи'!AA$11:AA$58))</f>
        <v>12</v>
      </c>
      <c r="U23" s="882">
        <f>T23+SUMIF('11.1.Амортиз.нови активи'!$B$11:$B$58,$B23,'11.1.Амортиз.нови активи'!U$11:U$58)+('9.Инвестиционна програма'!G$79*SUMIF('11.1.Амортиз.нови активи'!$B$11:$B$58,$B23,'11.1.Амортиз.нови активи'!AB$11:AB$58))</f>
        <v>12</v>
      </c>
      <c r="V23" s="882">
        <f>U23+SUMIF('11.1.Амортиз.нови активи'!$B$11:$B$58,$B23,'11.1.Амортиз.нови активи'!V$11:V$58)+('9.Инвестиционна програма'!H$79*SUMIF('11.1.Амортиз.нови активи'!$B$11:$B$58,$B23,'11.1.Амортиз.нови активи'!AC$11:AC$58))</f>
        <v>12</v>
      </c>
      <c r="W23" s="882">
        <f>V23+SUMIF('11.1.Амортиз.нови активи'!$B$11:$B$58,$B23,'11.1.Амортиз.нови активи'!W$11:W$58)+('9.Инвестиционна програма'!I$79*SUMIF('11.1.Амортиз.нови активи'!$B$11:$B$58,$B23,'11.1.Амортиз.нови активи'!AD$11:AD$58))</f>
        <v>12</v>
      </c>
      <c r="X23" s="882">
        <f>W23+SUMIF('11.1.Амортиз.нови активи'!$B$11:$B$58,$B23,'11.1.Амортиз.нови активи'!X$11:X$58)+('9.Инвестиционна програма'!J$79*SUMIF('11.1.Амортиз.нови активи'!$B$11:$B$58,$B23,'11.1.Амортиз.нови активи'!AE$11:AE$58))</f>
        <v>12</v>
      </c>
      <c r="Y23" s="883">
        <f>X23+SUMIF('11.1.Амортиз.нови активи'!$B$11:$B$58,$B23,'11.1.Амортиз.нови активи'!Y$11:Y$58)+('9.Инвестиционна програма'!K$79*SUMIF('11.1.Амортиз.нови активи'!$B$11:$B$58,$B23,'11.1.Амортиз.нови активи'!AF$11:AF$58))</f>
        <v>12</v>
      </c>
      <c r="Z23" s="1672"/>
      <c r="AA23" s="1679"/>
      <c r="AB23" s="1642"/>
    </row>
    <row r="24" spans="1:28">
      <c r="A24" s="1687">
        <v>7</v>
      </c>
      <c r="B24" s="1689">
        <v>20601</v>
      </c>
      <c r="C24" s="1680">
        <v>0.1</v>
      </c>
      <c r="D24" s="2395" t="s">
        <v>766</v>
      </c>
      <c r="E24" s="2246">
        <v>230</v>
      </c>
      <c r="F24" s="928">
        <f>E24+SUMIF('11.1.Амортиз.нови активи'!$B$11:$B$58,$B24,'11.1.Амортиз.нови активи'!F$11:F$58)+('9.Инвестиционна програма'!F$77*SUMIF('11.1.Амортиз.нови активи'!$B$11:$B$58,$B24,'11.1.Амортиз.нови активи'!AA$11:AA$58))</f>
        <v>315.67195767195767</v>
      </c>
      <c r="G24" s="882">
        <f>F24+SUMIF('11.1.Амортиз.нови активи'!$B$11:$B$58,$B24,'11.1.Амортиз.нови активи'!G$11:G$58)+('9.Инвестиционна програма'!G$77*SUMIF('11.1.Амортиз.нови активи'!$B$11:$B$58,$B24,'11.1.Амортиз.нови активи'!AB$11:AB$58))</f>
        <v>343.57346447092863</v>
      </c>
      <c r="H24" s="882">
        <f>G24+SUMIF('11.1.Амортиз.нови активи'!$B$11:$B$58,$B24,'11.1.Амортиз.нови активи'!H$11:H$58)+('9.Инвестиционна програма'!H$77*SUMIF('11.1.Амортиз.нови активи'!$B$11:$B$58,$B24,'11.1.Амортиз.нови активи'!AC$11:AC$58))</f>
        <v>392.67804899814928</v>
      </c>
      <c r="I24" s="882">
        <f>H24+SUMIF('11.1.Амортиз.нови активи'!$B$11:$B$58,$B24,'11.1.Амортиз.нови активи'!I$11:I$58)+('9.Инвестиционна програма'!I$77*SUMIF('11.1.Амортиз.нови активи'!$B$11:$B$58,$B24,'11.1.Амортиз.нови активи'!AD$11:AD$58))</f>
        <v>452.79063855802644</v>
      </c>
      <c r="J24" s="882">
        <f>I24+SUMIF('11.1.Амортиз.нови активи'!$B$11:$B$58,$B24,'11.1.Амортиз.нови активи'!J$11:J$58)+('9.Инвестиционна програма'!J$77*SUMIF('11.1.Амортиз.нови активи'!$B$11:$B$58,$B24,'11.1.Амортиз.нови активи'!AE$11:AE$58))</f>
        <v>522.84613245369792</v>
      </c>
      <c r="K24" s="883">
        <f>J24+SUMIF('11.1.Амортиз.нови активи'!$B$11:$B$58,$B24,'11.1.Амортиз.нови активи'!K$11:K$58)+('9.Инвестиционна програма'!K$77*SUMIF('11.1.Амортиз.нови активи'!$B$11:$B$58,$B24,'11.1.Амортиз.нови активи'!AF$11:AF$58))</f>
        <v>601.8083966046413</v>
      </c>
      <c r="L24" s="2246">
        <v>3</v>
      </c>
      <c r="M24" s="881">
        <f>L24+SUMIF('11.1.Амортиз.нови активи'!$B$11:$B$58,$B24,'11.1.Амортиз.нови активи'!M$11:M$58)+('9.Инвестиционна програма'!F$78*SUMIF('11.1.Амортиз.нови активи'!$B$11:$B$58,$B24,'11.1.Амортиз.нови активи'!AA$11:AA$58))</f>
        <v>4.5063803299097422</v>
      </c>
      <c r="N24" s="882">
        <f>M24+SUMIF('11.1.Амортиз.нови активи'!$B$11:$B$58,$B24,'11.1.Амортиз.нови активи'!N$11:N$58)+('9.Инвестиционна програма'!G$78*SUMIF('11.1.Амортиз.нови активи'!$B$11:$B$58,$B24,'11.1.Амортиз.нови активи'!AB$11:AB$58))</f>
        <v>54.87021715460655</v>
      </c>
      <c r="O24" s="882">
        <f>N24+SUMIF('11.1.Амортиз.нови активи'!$B$11:$B$58,$B24,'11.1.Амортиз.нови активи'!O$11:O$58)+('9.Инвестиционна програма'!H$78*SUMIF('11.1.Амортиз.нови активи'!$B$11:$B$58,$B24,'11.1.Амортиз.нови активи'!AC$11:AC$58))</f>
        <v>56.911764432543514</v>
      </c>
      <c r="P24" s="882">
        <f>O24+SUMIF('11.1.Амортиз.нови активи'!$B$11:$B$58,$B24,'11.1.Амортиз.нови активи'!P$11:P$58)+('9.Инвестиционна програма'!I$78*SUMIF('11.1.Амортиз.нови активи'!$B$11:$B$58,$B24,'11.1.Амортиз.нови активи'!AD$11:AD$58))</f>
        <v>62.070413357824989</v>
      </c>
      <c r="Q24" s="882">
        <f>P24+SUMIF('11.1.Амортиз.нови активи'!$B$11:$B$58,$B24,'11.1.Амортиз.нови активи'!Q$11:Q$58)+('9.Инвестиционна програма'!J$78*SUMIF('11.1.Амортиз.нови активи'!$B$11:$B$58,$B24,'11.1.Амортиз.нови активи'!AE$11:AE$58))</f>
        <v>67.486617575361066</v>
      </c>
      <c r="R24" s="883">
        <f>Q24+SUMIF('11.1.Амортиз.нови активи'!$B$11:$B$58,$B24,'11.1.Амортиз.нови активи'!R$11:R$58)+('9.Инвестиционна програма'!K$78*SUMIF('11.1.Амортиз.нови активи'!$B$11:$B$58,$B24,'11.1.Амортиз.нови активи'!AF$11:AF$58))</f>
        <v>72.050296820644093</v>
      </c>
      <c r="S24" s="2246">
        <v>7</v>
      </c>
      <c r="T24" s="881">
        <f>S24+SUMIF('11.1.Амортиз.нови активи'!$B$11:$B$58,$B24,'11.1.Амортиз.нови активи'!T$11:T$58)+('9.Инвестиционна програма'!F$79*SUMIF('11.1.Амортиз.нови активи'!$B$11:$B$58,$B24,'11.1.Амортиз.нови активи'!AA$11:AA$58))</f>
        <v>7.8216619981325861</v>
      </c>
      <c r="U24" s="882">
        <f>T24+SUMIF('11.1.Амортиз.нови активи'!$B$11:$B$58,$B24,'11.1.Амортиз.нови активи'!U$11:U$58)+('9.Инвестиционна програма'!G$79*SUMIF('11.1.Амортиз.нови активи'!$B$11:$B$58,$B24,'11.1.Амортиз.нови активи'!AB$11:AB$58))</f>
        <v>9.5563183744648175</v>
      </c>
      <c r="V24" s="882">
        <f>U24+SUMIF('11.1.Амортиз.нови активи'!$B$11:$B$58,$B24,'11.1.Амортиз.нови активи'!V$11:V$58)+('9.Инвестиционна програма'!H$79*SUMIF('11.1.Амортиз.нови активи'!$B$11:$B$58,$B24,'11.1.Амортиз.нови активи'!AC$11:AC$58))</f>
        <v>33.410186569307221</v>
      </c>
      <c r="W24" s="882">
        <f>V24+SUMIF('11.1.Амортиз.нови активи'!$B$11:$B$58,$B24,'11.1.Амортиз.нови активи'!W$11:W$58)+('9.Инвестиционна програма'!I$79*SUMIF('11.1.Амортиз.нови активи'!$B$11:$B$58,$B24,'11.1.Амортиз.нови активи'!AD$11:AD$58))</f>
        <v>38.138948084148574</v>
      </c>
      <c r="X24" s="882">
        <f>W24+SUMIF('11.1.Амортиз.нови активи'!$B$11:$B$58,$B24,'11.1.Амортиз.нови активи'!X$11:X$58)+('9.Инвестиционна програма'!J$79*SUMIF('11.1.Амортиз.нови активи'!$B$11:$B$58,$B24,'11.1.Амортиз.нови активи'!AE$11:AE$58))</f>
        <v>42.667249970941029</v>
      </c>
      <c r="Y24" s="883">
        <f>X24+SUMIF('11.1.Амортиз.нови активи'!$B$11:$B$58,$B24,'11.1.Амортиз.нови активи'!Y$11:Y$58)+('9.Инвестиционна програма'!K$79*SUMIF('11.1.Амортиз.нови активи'!$B$11:$B$58,$B24,'11.1.Амортиз.нови активи'!AF$11:AF$58))</f>
        <v>49.141306574714612</v>
      </c>
      <c r="Z24" s="1672"/>
      <c r="AA24" s="1679"/>
      <c r="AB24" s="1642"/>
    </row>
    <row r="25" spans="1:28">
      <c r="A25" s="1690">
        <v>8</v>
      </c>
      <c r="B25" s="1689">
        <v>20602</v>
      </c>
      <c r="C25" s="1680">
        <v>0.1</v>
      </c>
      <c r="D25" s="2395" t="s">
        <v>607</v>
      </c>
      <c r="E25" s="2246">
        <v>123</v>
      </c>
      <c r="F25" s="928">
        <f>E25+SUMIF('11.1.Амортиз.нови активи'!$B$11:$B$58,$B25,'11.1.Амортиз.нови активи'!F$11:F$58)+('9.Инвестиционна програма'!F$77*SUMIF('11.1.Амортиз.нови активи'!$B$11:$B$58,$B25,'11.1.Амортиз.нови активи'!AA$11:AA$58))</f>
        <v>123</v>
      </c>
      <c r="G25" s="882">
        <f>F25+SUMIF('11.1.Амортиз.нови активи'!$B$11:$B$58,$B25,'11.1.Амортиз.нови активи'!G$11:G$58)+('9.Инвестиционна програма'!G$77*SUMIF('11.1.Амортиз.нови активи'!$B$11:$B$58,$B25,'11.1.Амортиз.нови активи'!AB$11:AB$58))</f>
        <v>123</v>
      </c>
      <c r="H25" s="882">
        <f>G25+SUMIF('11.1.Амортиз.нови активи'!$B$11:$B$58,$B25,'11.1.Амортиз.нови активи'!H$11:H$58)+('9.Инвестиционна програма'!H$77*SUMIF('11.1.Амортиз.нови активи'!$B$11:$B$58,$B25,'11.1.Амортиз.нови активи'!AC$11:AC$58))</f>
        <v>123</v>
      </c>
      <c r="I25" s="882">
        <f>H25+SUMIF('11.1.Амортиз.нови активи'!$B$11:$B$58,$B25,'11.1.Амортиз.нови активи'!I$11:I$58)+('9.Инвестиционна програма'!I$77*SUMIF('11.1.Амортиз.нови активи'!$B$11:$B$58,$B25,'11.1.Амортиз.нови активи'!AD$11:AD$58))</f>
        <v>123</v>
      </c>
      <c r="J25" s="882">
        <f>I25+SUMIF('11.1.Амортиз.нови активи'!$B$11:$B$58,$B25,'11.1.Амортиз.нови активи'!J$11:J$58)+('9.Инвестиционна програма'!J$77*SUMIF('11.1.Амортиз.нови активи'!$B$11:$B$58,$B25,'11.1.Амортиз.нови активи'!AE$11:AE$58))</f>
        <v>123</v>
      </c>
      <c r="K25" s="883">
        <f>J25+SUMIF('11.1.Амортиз.нови активи'!$B$11:$B$58,$B25,'11.1.Амортиз.нови активи'!K$11:K$58)+('9.Инвестиционна програма'!K$77*SUMIF('11.1.Амортиз.нови активи'!$B$11:$B$58,$B25,'11.1.Амортиз.нови активи'!AF$11:AF$58))</f>
        <v>123</v>
      </c>
      <c r="L25" s="2246">
        <v>2</v>
      </c>
      <c r="M25" s="881">
        <f>L25+SUMIF('11.1.Амортиз.нови активи'!$B$11:$B$58,$B25,'11.1.Амортиз.нови активи'!M$11:M$58)+('9.Инвестиционна програма'!F$78*SUMIF('11.1.Амортиз.нови активи'!$B$11:$B$58,$B25,'11.1.Амортиз.нови активи'!AA$11:AA$58))</f>
        <v>2</v>
      </c>
      <c r="N25" s="882">
        <f>M25+SUMIF('11.1.Амортиз.нови активи'!$B$11:$B$58,$B25,'11.1.Амортиз.нови активи'!N$11:N$58)+('9.Инвестиционна програма'!G$78*SUMIF('11.1.Амортиз.нови активи'!$B$11:$B$58,$B25,'11.1.Амортиз.нови активи'!AB$11:AB$58))</f>
        <v>2</v>
      </c>
      <c r="O25" s="882">
        <f>N25+SUMIF('11.1.Амортиз.нови активи'!$B$11:$B$58,$B25,'11.1.Амортиз.нови активи'!O$11:O$58)+('9.Инвестиционна програма'!H$78*SUMIF('11.1.Амортиз.нови активи'!$B$11:$B$58,$B25,'11.1.Амортиз.нови активи'!AC$11:AC$58))</f>
        <v>2</v>
      </c>
      <c r="P25" s="882">
        <f>O25+SUMIF('11.1.Амортиз.нови активи'!$B$11:$B$58,$B25,'11.1.Амортиз.нови активи'!P$11:P$58)+('9.Инвестиционна програма'!I$78*SUMIF('11.1.Амортиз.нови активи'!$B$11:$B$58,$B25,'11.1.Амортиз.нови активи'!AD$11:AD$58))</f>
        <v>2</v>
      </c>
      <c r="Q25" s="882">
        <f>P25+SUMIF('11.1.Амортиз.нови активи'!$B$11:$B$58,$B25,'11.1.Амортиз.нови активи'!Q$11:Q$58)+('9.Инвестиционна програма'!J$78*SUMIF('11.1.Амортиз.нови активи'!$B$11:$B$58,$B25,'11.1.Амортиз.нови активи'!AE$11:AE$58))</f>
        <v>2</v>
      </c>
      <c r="R25" s="883">
        <f>Q25+SUMIF('11.1.Амортиз.нови активи'!$B$11:$B$58,$B25,'11.1.Амортиз.нови активи'!R$11:R$58)+('9.Инвестиционна програма'!K$78*SUMIF('11.1.Амортиз.нови активи'!$B$11:$B$58,$B25,'11.1.Амортиз.нови активи'!AF$11:AF$58))</f>
        <v>2</v>
      </c>
      <c r="S25" s="2246">
        <v>9</v>
      </c>
      <c r="T25" s="881">
        <f>S25+SUMIF('11.1.Амортиз.нови активи'!$B$11:$B$58,$B25,'11.1.Амортиз.нови активи'!T$11:T$58)+('9.Инвестиционна програма'!F$79*SUMIF('11.1.Амортиз.нови активи'!$B$11:$B$58,$B25,'11.1.Амортиз.нови активи'!AA$11:AA$58))</f>
        <v>9</v>
      </c>
      <c r="U25" s="882">
        <f>T25+SUMIF('11.1.Амортиз.нови активи'!$B$11:$B$58,$B25,'11.1.Амортиз.нови активи'!U$11:U$58)+('9.Инвестиционна програма'!G$79*SUMIF('11.1.Амортиз.нови активи'!$B$11:$B$58,$B25,'11.1.Амортиз.нови активи'!AB$11:AB$58))</f>
        <v>9</v>
      </c>
      <c r="V25" s="882">
        <f>U25+SUMIF('11.1.Амортиз.нови активи'!$B$11:$B$58,$B25,'11.1.Амортиз.нови активи'!V$11:V$58)+('9.Инвестиционна програма'!H$79*SUMIF('11.1.Амортиз.нови активи'!$B$11:$B$58,$B25,'11.1.Амортиз.нови активи'!AC$11:AC$58))</f>
        <v>9</v>
      </c>
      <c r="W25" s="882">
        <f>V25+SUMIF('11.1.Амортиз.нови активи'!$B$11:$B$58,$B25,'11.1.Амортиз.нови активи'!W$11:W$58)+('9.Инвестиционна програма'!I$79*SUMIF('11.1.Амортиз.нови активи'!$B$11:$B$58,$B25,'11.1.Амортиз.нови активи'!AD$11:AD$58))</f>
        <v>9</v>
      </c>
      <c r="X25" s="882">
        <f>W25+SUMIF('11.1.Амортиз.нови активи'!$B$11:$B$58,$B25,'11.1.Амортиз.нови активи'!X$11:X$58)+('9.Инвестиционна програма'!J$79*SUMIF('11.1.Амортиз.нови активи'!$B$11:$B$58,$B25,'11.1.Амортиз.нови активи'!AE$11:AE$58))</f>
        <v>9</v>
      </c>
      <c r="Y25" s="883">
        <f>X25+SUMIF('11.1.Амортиз.нови активи'!$B$11:$B$58,$B25,'11.1.Амортиз.нови активи'!Y$11:Y$58)+('9.Инвестиционна програма'!K$79*SUMIF('11.1.Амортиз.нови активи'!$B$11:$B$58,$B25,'11.1.Амортиз.нови активи'!AF$11:AF$58))</f>
        <v>9</v>
      </c>
      <c r="Z25" s="1672"/>
      <c r="AA25" s="1679"/>
      <c r="AB25" s="1642"/>
    </row>
    <row r="26" spans="1:28">
      <c r="A26" s="1690">
        <v>9</v>
      </c>
      <c r="B26" s="1688">
        <v>20603</v>
      </c>
      <c r="C26" s="1680">
        <v>0.5</v>
      </c>
      <c r="D26" s="2395" t="s">
        <v>1441</v>
      </c>
      <c r="E26" s="2246">
        <v>1</v>
      </c>
      <c r="F26" s="928">
        <f>E26+SUMIF('11.1.Амортиз.нови активи'!$B$11:$B$58,$B26,'11.1.Амортиз.нови активи'!F$11:F$58)+('9.Инвестиционна програма'!F$77*SUMIF('11.1.Амортиз.нови активи'!$B$11:$B$58,$B26,'11.1.Амортиз.нови активи'!AA$11:AA$58))</f>
        <v>1</v>
      </c>
      <c r="G26" s="882">
        <f>F26+SUMIF('11.1.Амортиз.нови активи'!$B$11:$B$58,$B26,'11.1.Амортиз.нови активи'!G$11:G$58)+('9.Инвестиционна програма'!G$77*SUMIF('11.1.Амортиз.нови активи'!$B$11:$B$58,$B26,'11.1.Амортиз.нови активи'!AB$11:AB$58))</f>
        <v>1</v>
      </c>
      <c r="H26" s="882">
        <f>G26+SUMIF('11.1.Амортиз.нови активи'!$B$11:$B$58,$B26,'11.1.Амортиз.нови активи'!H$11:H$58)+('9.Инвестиционна програма'!H$77*SUMIF('11.1.Амортиз.нови активи'!$B$11:$B$58,$B26,'11.1.Амортиз.нови активи'!AC$11:AC$58))</f>
        <v>1</v>
      </c>
      <c r="I26" s="882">
        <f>H26+SUMIF('11.1.Амортиз.нови активи'!$B$11:$B$58,$B26,'11.1.Амортиз.нови активи'!I$11:I$58)+('9.Инвестиционна програма'!I$77*SUMIF('11.1.Амортиз.нови активи'!$B$11:$B$58,$B26,'11.1.Амортиз.нови активи'!AD$11:AD$58))</f>
        <v>1</v>
      </c>
      <c r="J26" s="882">
        <f>I26+SUMIF('11.1.Амортиз.нови активи'!$B$11:$B$58,$B26,'11.1.Амортиз.нови активи'!J$11:J$58)+('9.Инвестиционна програма'!J$77*SUMIF('11.1.Амортиз.нови активи'!$B$11:$B$58,$B26,'11.1.Амортиз.нови активи'!AE$11:AE$58))</f>
        <v>1</v>
      </c>
      <c r="K26" s="883">
        <f>J26+SUMIF('11.1.Амортиз.нови активи'!$B$11:$B$58,$B26,'11.1.Амортиз.нови активи'!K$11:K$58)+('9.Инвестиционна програма'!K$77*SUMIF('11.1.Амортиз.нови активи'!$B$11:$B$58,$B26,'11.1.Амортиз.нови активи'!AF$11:AF$58))</f>
        <v>1</v>
      </c>
      <c r="L26" s="2246">
        <v>0</v>
      </c>
      <c r="M26" s="881">
        <f>L26+SUMIF('11.1.Амортиз.нови активи'!$B$11:$B$58,$B26,'11.1.Амортиз.нови активи'!M$11:M$58)+('9.Инвестиционна програма'!F$78*SUMIF('11.1.Амортиз.нови активи'!$B$11:$B$58,$B26,'11.1.Амортиз.нови активи'!AA$11:AA$58))</f>
        <v>0</v>
      </c>
      <c r="N26" s="882">
        <f>M26+SUMIF('11.1.Амортиз.нови активи'!$B$11:$B$58,$B26,'11.1.Амортиз.нови активи'!N$11:N$58)+('9.Инвестиционна програма'!G$78*SUMIF('11.1.Амортиз.нови активи'!$B$11:$B$58,$B26,'11.1.Амортиз.нови активи'!AB$11:AB$58))</f>
        <v>0</v>
      </c>
      <c r="O26" s="882">
        <f>N26+SUMIF('11.1.Амортиз.нови активи'!$B$11:$B$58,$B26,'11.1.Амортиз.нови активи'!O$11:O$58)+('9.Инвестиционна програма'!H$78*SUMIF('11.1.Амортиз.нови активи'!$B$11:$B$58,$B26,'11.1.Амортиз.нови активи'!AC$11:AC$58))</f>
        <v>0</v>
      </c>
      <c r="P26" s="882">
        <f>O26+SUMIF('11.1.Амортиз.нови активи'!$B$11:$B$58,$B26,'11.1.Амортиз.нови активи'!P$11:P$58)+('9.Инвестиционна програма'!I$78*SUMIF('11.1.Амортиз.нови активи'!$B$11:$B$58,$B26,'11.1.Амортиз.нови активи'!AD$11:AD$58))</f>
        <v>0</v>
      </c>
      <c r="Q26" s="882">
        <f>P26+SUMIF('11.1.Амортиз.нови активи'!$B$11:$B$58,$B26,'11.1.Амортиз.нови активи'!Q$11:Q$58)+('9.Инвестиционна програма'!J$78*SUMIF('11.1.Амортиз.нови активи'!$B$11:$B$58,$B26,'11.1.Амортиз.нови активи'!AE$11:AE$58))</f>
        <v>0</v>
      </c>
      <c r="R26" s="883">
        <f>Q26+SUMIF('11.1.Амортиз.нови активи'!$B$11:$B$58,$B26,'11.1.Амортиз.нови активи'!R$11:R$58)+('9.Инвестиционна програма'!K$78*SUMIF('11.1.Амортиз.нови активи'!$B$11:$B$58,$B26,'11.1.Амортиз.нови активи'!AF$11:AF$58))</f>
        <v>0</v>
      </c>
      <c r="S26" s="2246">
        <v>0</v>
      </c>
      <c r="T26" s="881">
        <f>S26+SUMIF('11.1.Амортиз.нови активи'!$B$11:$B$58,$B26,'11.1.Амортиз.нови активи'!T$11:T$58)+('9.Инвестиционна програма'!F$79*SUMIF('11.1.Амортиз.нови активи'!$B$11:$B$58,$B26,'11.1.Амортиз.нови активи'!AA$11:AA$58))</f>
        <v>0</v>
      </c>
      <c r="U26" s="882">
        <f>T26+SUMIF('11.1.Амортиз.нови активи'!$B$11:$B$58,$B26,'11.1.Амортиз.нови активи'!U$11:U$58)+('9.Инвестиционна програма'!G$79*SUMIF('11.1.Амортиз.нови активи'!$B$11:$B$58,$B26,'11.1.Амортиз.нови активи'!AB$11:AB$58))</f>
        <v>0</v>
      </c>
      <c r="V26" s="882">
        <f>U26+SUMIF('11.1.Амортиз.нови активи'!$B$11:$B$58,$B26,'11.1.Амортиз.нови активи'!V$11:V$58)+('9.Инвестиционна програма'!H$79*SUMIF('11.1.Амортиз.нови активи'!$B$11:$B$58,$B26,'11.1.Амортиз.нови активи'!AC$11:AC$58))</f>
        <v>0</v>
      </c>
      <c r="W26" s="882">
        <f>V26+SUMIF('11.1.Амортиз.нови активи'!$B$11:$B$58,$B26,'11.1.Амортиз.нови активи'!W$11:W$58)+('9.Инвестиционна програма'!I$79*SUMIF('11.1.Амортиз.нови активи'!$B$11:$B$58,$B26,'11.1.Амортиз.нови активи'!AD$11:AD$58))</f>
        <v>0</v>
      </c>
      <c r="X26" s="882">
        <f>W26+SUMIF('11.1.Амортиз.нови активи'!$B$11:$B$58,$B26,'11.1.Амортиз.нови активи'!X$11:X$58)+('9.Инвестиционна програма'!J$79*SUMIF('11.1.Амортиз.нови активи'!$B$11:$B$58,$B26,'11.1.Амортиз.нови активи'!AE$11:AE$58))</f>
        <v>0</v>
      </c>
      <c r="Y26" s="883">
        <f>X26+SUMIF('11.1.Амортиз.нови активи'!$B$11:$B$58,$B26,'11.1.Амортиз.нови активи'!Y$11:Y$58)+('9.Инвестиционна програма'!K$79*SUMIF('11.1.Амортиз.нови активи'!$B$11:$B$58,$B26,'11.1.Амортиз.нови активи'!AF$11:AF$58))</f>
        <v>0</v>
      </c>
      <c r="Z26" s="1672"/>
      <c r="AA26" s="1679"/>
      <c r="AB26" s="1642"/>
    </row>
    <row r="27" spans="1:28">
      <c r="A27" s="1690">
        <v>10</v>
      </c>
      <c r="B27" s="1688">
        <v>209</v>
      </c>
      <c r="C27" s="1680">
        <v>0.1</v>
      </c>
      <c r="D27" s="2395" t="s">
        <v>276</v>
      </c>
      <c r="E27" s="2246">
        <v>0</v>
      </c>
      <c r="F27" s="928">
        <f>E27+SUMIF('11.1.Амортиз.нови активи'!$B$11:$B$58,$B27,'11.1.Амортиз.нови активи'!F$11:F$58)+('9.Инвестиционна програма'!F$77*SUMIF('11.1.Амортиз.нови активи'!$B$11:$B$58,$B27,'11.1.Амортиз.нови активи'!AA$11:AA$58))</f>
        <v>0</v>
      </c>
      <c r="G27" s="882">
        <f>F27+SUMIF('11.1.Амортиз.нови активи'!$B$11:$B$58,$B27,'11.1.Амортиз.нови активи'!G$11:G$58)+('9.Инвестиционна програма'!G$77*SUMIF('11.1.Амортиз.нови активи'!$B$11:$B$58,$B27,'11.1.Амортиз.нови активи'!AB$11:AB$58))</f>
        <v>0</v>
      </c>
      <c r="H27" s="882">
        <f>G27+SUMIF('11.1.Амортиз.нови активи'!$B$11:$B$58,$B27,'11.1.Амортиз.нови активи'!H$11:H$58)+('9.Инвестиционна програма'!H$77*SUMIF('11.1.Амортиз.нови активи'!$B$11:$B$58,$B27,'11.1.Амортиз.нови активи'!AC$11:AC$58))</f>
        <v>0</v>
      </c>
      <c r="I27" s="882">
        <f>H27+SUMIF('11.1.Амортиз.нови активи'!$B$11:$B$58,$B27,'11.1.Амортиз.нови активи'!I$11:I$58)+('9.Инвестиционна програма'!I$77*SUMIF('11.1.Амортиз.нови активи'!$B$11:$B$58,$B27,'11.1.Амортиз.нови активи'!AD$11:AD$58))</f>
        <v>0</v>
      </c>
      <c r="J27" s="882">
        <f>I27+SUMIF('11.1.Амортиз.нови активи'!$B$11:$B$58,$B27,'11.1.Амортиз.нови активи'!J$11:J$58)+('9.Инвестиционна програма'!J$77*SUMIF('11.1.Амортиз.нови активи'!$B$11:$B$58,$B27,'11.1.Амортиз.нови активи'!AE$11:AE$58))</f>
        <v>0</v>
      </c>
      <c r="K27" s="883">
        <f>J27+SUMIF('11.1.Амортиз.нови активи'!$B$11:$B$58,$B27,'11.1.Амортиз.нови активи'!K$11:K$58)+('9.Инвестиционна програма'!K$77*SUMIF('11.1.Амортиз.нови активи'!$B$11:$B$58,$B27,'11.1.Амортиз.нови активи'!AF$11:AF$58))</f>
        <v>0</v>
      </c>
      <c r="L27" s="2246">
        <v>0</v>
      </c>
      <c r="M27" s="881">
        <f>L27+SUMIF('11.1.Амортиз.нови активи'!$B$11:$B$58,$B27,'11.1.Амортиз.нови активи'!M$11:M$58)+('9.Инвестиционна програма'!F$78*SUMIF('11.1.Амортиз.нови активи'!$B$11:$B$58,$B27,'11.1.Амортиз.нови активи'!AA$11:AA$58))</f>
        <v>0</v>
      </c>
      <c r="N27" s="882">
        <f>M27+SUMIF('11.1.Амортиз.нови активи'!$B$11:$B$58,$B27,'11.1.Амортиз.нови активи'!N$11:N$58)+('9.Инвестиционна програма'!G$78*SUMIF('11.1.Амортиз.нови активи'!$B$11:$B$58,$B27,'11.1.Амортиз.нови активи'!AB$11:AB$58))</f>
        <v>0</v>
      </c>
      <c r="O27" s="882">
        <f>N27+SUMIF('11.1.Амортиз.нови активи'!$B$11:$B$58,$B27,'11.1.Амортиз.нови активи'!O$11:O$58)+('9.Инвестиционна програма'!H$78*SUMIF('11.1.Амортиз.нови активи'!$B$11:$B$58,$B27,'11.1.Амортиз.нови активи'!AC$11:AC$58))</f>
        <v>0</v>
      </c>
      <c r="P27" s="882">
        <f>O27+SUMIF('11.1.Амортиз.нови активи'!$B$11:$B$58,$B27,'11.1.Амортиз.нови активи'!P$11:P$58)+('9.Инвестиционна програма'!I$78*SUMIF('11.1.Амортиз.нови активи'!$B$11:$B$58,$B27,'11.1.Амортиз.нови активи'!AD$11:AD$58))</f>
        <v>0</v>
      </c>
      <c r="Q27" s="882">
        <f>P27+SUMIF('11.1.Амортиз.нови активи'!$B$11:$B$58,$B27,'11.1.Амортиз.нови активи'!Q$11:Q$58)+('9.Инвестиционна програма'!J$78*SUMIF('11.1.Амортиз.нови активи'!$B$11:$B$58,$B27,'11.1.Амортиз.нови активи'!AE$11:AE$58))</f>
        <v>0</v>
      </c>
      <c r="R27" s="883">
        <f>Q27+SUMIF('11.1.Амортиз.нови активи'!$B$11:$B$58,$B27,'11.1.Амортиз.нови активи'!R$11:R$58)+('9.Инвестиционна програма'!K$78*SUMIF('11.1.Амортиз.нови активи'!$B$11:$B$58,$B27,'11.1.Амортиз.нови активи'!AF$11:AF$58))</f>
        <v>0</v>
      </c>
      <c r="S27" s="2246">
        <v>0</v>
      </c>
      <c r="T27" s="881">
        <f>S27+SUMIF('11.1.Амортиз.нови активи'!$B$11:$B$58,$B27,'11.1.Амортиз.нови активи'!T$11:T$58)+('9.Инвестиционна програма'!F$79*SUMIF('11.1.Амортиз.нови активи'!$B$11:$B$58,$B27,'11.1.Амортиз.нови активи'!AA$11:AA$58))</f>
        <v>0</v>
      </c>
      <c r="U27" s="882">
        <f>T27+SUMIF('11.1.Амортиз.нови активи'!$B$11:$B$58,$B27,'11.1.Амортиз.нови активи'!U$11:U$58)+('9.Инвестиционна програма'!G$79*SUMIF('11.1.Амортиз.нови активи'!$B$11:$B$58,$B27,'11.1.Амортиз.нови активи'!AB$11:AB$58))</f>
        <v>0</v>
      </c>
      <c r="V27" s="882">
        <f>U27+SUMIF('11.1.Амортиз.нови активи'!$B$11:$B$58,$B27,'11.1.Амортиз.нови активи'!V$11:V$58)+('9.Инвестиционна програма'!H$79*SUMIF('11.1.Амортиз.нови активи'!$B$11:$B$58,$B27,'11.1.Амортиз.нови активи'!AC$11:AC$58))</f>
        <v>0</v>
      </c>
      <c r="W27" s="882">
        <f>V27+SUMIF('11.1.Амортиз.нови активи'!$B$11:$B$58,$B27,'11.1.Амортиз.нови активи'!W$11:W$58)+('9.Инвестиционна програма'!I$79*SUMIF('11.1.Амортиз.нови активи'!$B$11:$B$58,$B27,'11.1.Амортиз.нови активи'!AD$11:AD$58))</f>
        <v>0</v>
      </c>
      <c r="X27" s="882">
        <f>W27+SUMIF('11.1.Амортиз.нови активи'!$B$11:$B$58,$B27,'11.1.Амортиз.нови активи'!X$11:X$58)+('9.Инвестиционна програма'!J$79*SUMIF('11.1.Амортиз.нови активи'!$B$11:$B$58,$B27,'11.1.Амортиз.нови активи'!AE$11:AE$58))</f>
        <v>0</v>
      </c>
      <c r="Y27" s="883">
        <f>X27+SUMIF('11.1.Амортиз.нови активи'!$B$11:$B$58,$B27,'11.1.Амортиз.нови активи'!Y$11:Y$58)+('9.Инвестиционна програма'!K$79*SUMIF('11.1.Амортиз.нови активи'!$B$11:$B$58,$B27,'11.1.Амортиз.нови активи'!AF$11:AF$58))</f>
        <v>0</v>
      </c>
      <c r="Z27" s="1672"/>
      <c r="AA27" s="1679"/>
      <c r="AB27" s="1642"/>
    </row>
    <row r="28" spans="1:28" ht="24">
      <c r="A28" s="1690">
        <v>11</v>
      </c>
      <c r="B28" s="1688">
        <v>207</v>
      </c>
      <c r="C28" s="1688" t="s">
        <v>380</v>
      </c>
      <c r="D28" s="2397" t="s">
        <v>586</v>
      </c>
      <c r="E28" s="2246">
        <v>237</v>
      </c>
      <c r="F28" s="928">
        <f>E28+SUMIF('11.1.Амортиз.нови активи'!$B$11:$B$58,$B28,'11.1.Амортиз.нови активи'!F$11:F$58)+('9.Инвестиционна програма'!F$77*SUMIF('11.1.Амортиз.нови активи'!$B$11:$B$58,$B28,'11.1.Амортиз.нови активи'!AA$11:AA$58))</f>
        <v>237</v>
      </c>
      <c r="G28" s="882">
        <f>F28+SUMIF('11.1.Амортиз.нови активи'!$B$11:$B$58,$B28,'11.1.Амортиз.нови активи'!G$11:G$58)+('9.Инвестиционна програма'!G$77*SUMIF('11.1.Амортиз.нови активи'!$B$11:$B$58,$B28,'11.1.Амортиз.нови активи'!AB$11:AB$58))</f>
        <v>237</v>
      </c>
      <c r="H28" s="882">
        <f>G28+SUMIF('11.1.Амортиз.нови активи'!$B$11:$B$58,$B28,'11.1.Амортиз.нови активи'!H$11:H$58)+('9.Инвестиционна програма'!H$77*SUMIF('11.1.Амортиз.нови активи'!$B$11:$B$58,$B28,'11.1.Амортиз.нови активи'!AC$11:AC$58))</f>
        <v>237</v>
      </c>
      <c r="I28" s="882">
        <f>H28+SUMIF('11.1.Амортиз.нови активи'!$B$11:$B$58,$B28,'11.1.Амортиз.нови активи'!I$11:I$58)+('9.Инвестиционна програма'!I$77*SUMIF('11.1.Амортиз.нови активи'!$B$11:$B$58,$B28,'11.1.Амортиз.нови активи'!AD$11:AD$58))</f>
        <v>237</v>
      </c>
      <c r="J28" s="882">
        <f>I28+SUMIF('11.1.Амортиз.нови активи'!$B$11:$B$58,$B28,'11.1.Амортиз.нови активи'!J$11:J$58)+('9.Инвестиционна програма'!J$77*SUMIF('11.1.Амортиз.нови активи'!$B$11:$B$58,$B28,'11.1.Амортиз.нови активи'!AE$11:AE$58))</f>
        <v>237</v>
      </c>
      <c r="K28" s="883">
        <f>J28+SUMIF('11.1.Амортиз.нови активи'!$B$11:$B$58,$B28,'11.1.Амортиз.нови активи'!K$11:K$58)+('9.Инвестиционна програма'!K$77*SUMIF('11.1.Амортиз.нови активи'!$B$11:$B$58,$B28,'11.1.Амортиз.нови активи'!AF$11:AF$58))</f>
        <v>237</v>
      </c>
      <c r="L28" s="2246">
        <v>0</v>
      </c>
      <c r="M28" s="881">
        <f>L28+SUMIF('11.1.Амортиз.нови активи'!$B$11:$B$58,$B28,'11.1.Амортиз.нови активи'!M$11:M$58)+('9.Инвестиционна програма'!F$78*SUMIF('11.1.Амортиз.нови активи'!$B$11:$B$58,$B28,'11.1.Амортиз.нови активи'!AA$11:AA$58))</f>
        <v>0</v>
      </c>
      <c r="N28" s="882">
        <f>M28+SUMIF('11.1.Амортиз.нови активи'!$B$11:$B$58,$B28,'11.1.Амортиз.нови активи'!N$11:N$58)+('9.Инвестиционна програма'!G$78*SUMIF('11.1.Амортиз.нови активи'!$B$11:$B$58,$B28,'11.1.Амортиз.нови активи'!AB$11:AB$58))</f>
        <v>0</v>
      </c>
      <c r="O28" s="882">
        <f>N28+SUMIF('11.1.Амортиз.нови активи'!$B$11:$B$58,$B28,'11.1.Амортиз.нови активи'!O$11:O$58)+('9.Инвестиционна програма'!H$78*SUMIF('11.1.Амортиз.нови активи'!$B$11:$B$58,$B28,'11.1.Амортиз.нови активи'!AC$11:AC$58))</f>
        <v>0</v>
      </c>
      <c r="P28" s="882">
        <f>O28+SUMIF('11.1.Амортиз.нови активи'!$B$11:$B$58,$B28,'11.1.Амортиз.нови активи'!P$11:P$58)+('9.Инвестиционна програма'!I$78*SUMIF('11.1.Амортиз.нови активи'!$B$11:$B$58,$B28,'11.1.Амортиз.нови активи'!AD$11:AD$58))</f>
        <v>0</v>
      </c>
      <c r="Q28" s="882">
        <f>P28+SUMIF('11.1.Амортиз.нови активи'!$B$11:$B$58,$B28,'11.1.Амортиз.нови активи'!Q$11:Q$58)+('9.Инвестиционна програма'!J$78*SUMIF('11.1.Амортиз.нови активи'!$B$11:$B$58,$B28,'11.1.Амортиз.нови активи'!AE$11:AE$58))</f>
        <v>0</v>
      </c>
      <c r="R28" s="883">
        <f>Q28+SUMIF('11.1.Амортиз.нови активи'!$B$11:$B$58,$B28,'11.1.Амортиз.нови активи'!R$11:R$58)+('9.Инвестиционна програма'!K$78*SUMIF('11.1.Амортиз.нови активи'!$B$11:$B$58,$B28,'11.1.Амортиз.нови активи'!AF$11:AF$58))</f>
        <v>0</v>
      </c>
      <c r="S28" s="2246">
        <v>0</v>
      </c>
      <c r="T28" s="881">
        <f>S28+SUMIF('11.1.Амортиз.нови активи'!$B$11:$B$58,$B28,'11.1.Амортиз.нови активи'!T$11:T$58)+('9.Инвестиционна програма'!F$79*SUMIF('11.1.Амортиз.нови активи'!$B$11:$B$58,$B28,'11.1.Амортиз.нови активи'!AA$11:AA$58))</f>
        <v>0</v>
      </c>
      <c r="U28" s="882">
        <f>T28+SUMIF('11.1.Амортиз.нови активи'!$B$11:$B$58,$B28,'11.1.Амортиз.нови активи'!U$11:U$58)+('9.Инвестиционна програма'!G$79*SUMIF('11.1.Амортиз.нови активи'!$B$11:$B$58,$B28,'11.1.Амортиз.нови активи'!AB$11:AB$58))</f>
        <v>0</v>
      </c>
      <c r="V28" s="882">
        <f>U28+SUMIF('11.1.Амортиз.нови активи'!$B$11:$B$58,$B28,'11.1.Амортиз.нови активи'!V$11:V$58)+('9.Инвестиционна програма'!H$79*SUMIF('11.1.Амортиз.нови активи'!$B$11:$B$58,$B28,'11.1.Амортиз.нови активи'!AC$11:AC$58))</f>
        <v>0</v>
      </c>
      <c r="W28" s="882">
        <f>V28+SUMIF('11.1.Амортиз.нови активи'!$B$11:$B$58,$B28,'11.1.Амортиз.нови активи'!W$11:W$58)+('9.Инвестиционна програма'!I$79*SUMIF('11.1.Амортиз.нови активи'!$B$11:$B$58,$B28,'11.1.Амортиз.нови активи'!AD$11:AD$58))</f>
        <v>0</v>
      </c>
      <c r="X28" s="882">
        <f>W28+SUMIF('11.1.Амортиз.нови активи'!$B$11:$B$58,$B28,'11.1.Амортиз.нови активи'!X$11:X$58)+('9.Инвестиционна програма'!J$79*SUMIF('11.1.Амортиз.нови активи'!$B$11:$B$58,$B28,'11.1.Амортиз.нови активи'!AE$11:AE$58))</f>
        <v>0</v>
      </c>
      <c r="Y28" s="883">
        <f>X28+SUMIF('11.1.Амортиз.нови активи'!$B$11:$B$58,$B28,'11.1.Амортиз.нови активи'!Y$11:Y$58)+('9.Инвестиционна програма'!K$79*SUMIF('11.1.Амортиз.нови активи'!$B$11:$B$58,$B28,'11.1.Амортиз.нови активи'!AF$11:AF$58))</f>
        <v>0</v>
      </c>
      <c r="Z28" s="1672"/>
      <c r="AA28" s="1679"/>
      <c r="AB28" s="1642"/>
    </row>
    <row r="29" spans="1:28">
      <c r="A29" s="1690">
        <v>12</v>
      </c>
      <c r="B29" s="1688">
        <v>212</v>
      </c>
      <c r="C29" s="1680">
        <v>0.2</v>
      </c>
      <c r="D29" s="2398" t="s">
        <v>277</v>
      </c>
      <c r="E29" s="2246">
        <v>135</v>
      </c>
      <c r="F29" s="928">
        <f>E29+SUMIF('11.1.Амортиз.нови активи'!$B$11:$B$58,$B29,'11.1.Амортиз.нови активи'!F$11:F$58)+('9.Инвестиционна програма'!F$77*SUMIF('11.1.Амортиз.нови активи'!$B$11:$B$58,$B29,'11.1.Амортиз.нови активи'!AA$11:AA$58))</f>
        <v>138.8941798941799</v>
      </c>
      <c r="G29" s="882">
        <f>F29+SUMIF('11.1.Амортиз.нови активи'!$B$11:$B$58,$B29,'11.1.Амортиз.нови активи'!G$11:G$58)+('9.Инвестиционна програма'!G$77*SUMIF('11.1.Амортиз.нови активи'!$B$11:$B$58,$B29,'11.1.Амортиз.нови активи'!AB$11:AB$58))</f>
        <v>142.38186824405128</v>
      </c>
      <c r="H29" s="882">
        <f>G29+SUMIF('11.1.Амортиз.нови активи'!$B$11:$B$58,$B29,'11.1.Амортиз.нови активи'!H$11:H$58)+('9.Инвестиционна програма'!H$77*SUMIF('11.1.Амортиз.нови активи'!$B$11:$B$58,$B29,'11.1.Амортиз.нови активи'!AC$11:AC$58))</f>
        <v>148.92914618101403</v>
      </c>
      <c r="I29" s="882">
        <f>H29+SUMIF('11.1.Амортиз.нови активи'!$B$11:$B$58,$B29,'11.1.Амортиз.нови активи'!I$11:I$58)+('9.Инвестиционна програма'!I$77*SUMIF('11.1.Амортиз.нови активи'!$B$11:$B$58,$B29,'11.1.Амортиз.нови активи'!AD$11:AD$58))</f>
        <v>157.51665897528221</v>
      </c>
      <c r="J29" s="882">
        <f>I29+SUMIF('11.1.Амортиз.нови активи'!$B$11:$B$58,$B29,'11.1.Амортиз.нови активи'!J$11:J$58)+('9.Инвестиционна програма'!J$77*SUMIF('11.1.Амортиз.нови активи'!$B$11:$B$58,$B29,'11.1.Амортиз.нови активи'!AE$11:AE$58))</f>
        <v>166.27359571224116</v>
      </c>
      <c r="K29" s="883">
        <f>J29+SUMIF('11.1.Амортиз.нови активи'!$B$11:$B$58,$B29,'11.1.Амортиз.нови активи'!K$11:K$58)+('9.Инвестиционна програма'!K$77*SUMIF('11.1.Амортиз.нови активи'!$B$11:$B$58,$B29,'11.1.Амортиз.нови активи'!AF$11:AF$58))</f>
        <v>175.04718061790155</v>
      </c>
      <c r="L29" s="2246">
        <v>0</v>
      </c>
      <c r="M29" s="881">
        <f>L29+SUMIF('11.1.Амортиз.нови активи'!$B$11:$B$58,$B29,'11.1.Амортиз.нови активи'!M$11:M$58)+('9.Инвестиционна програма'!F$78*SUMIF('11.1.Амортиз.нови активи'!$B$11:$B$58,$B29,'11.1.Амортиз.нови активи'!AA$11:AA$58))</f>
        <v>6.8471833177715533E-2</v>
      </c>
      <c r="N29" s="882">
        <f>M29+SUMIF('11.1.Амортиз.нови активи'!$B$11:$B$58,$B29,'11.1.Амортиз.нови активи'!N$11:N$58)+('9.Инвестиционна програма'!G$78*SUMIF('11.1.Амортиз.нови активи'!$B$11:$B$58,$B29,'11.1.Амортиз.нови активи'!AB$11:AB$58))</f>
        <v>6.3639514362648164</v>
      </c>
      <c r="O29" s="882">
        <f>N29+SUMIF('11.1.Амортиз.нови активи'!$B$11:$B$58,$B29,'11.1.Амортиз.нови активи'!O$11:O$58)+('9.Инвестиционна програма'!H$78*SUMIF('11.1.Амортиз.нови активи'!$B$11:$B$58,$B29,'11.1.Амортиз.нови активи'!AC$11:AC$58))</f>
        <v>6.6361577399897449</v>
      </c>
      <c r="P29" s="882">
        <f>O29+SUMIF('11.1.Амортиз.нови активи'!$B$11:$B$58,$B29,'11.1.Амортиз.нови активи'!P$11:P$58)+('9.Инвестиционна програма'!I$78*SUMIF('11.1.Амортиз.нови активи'!$B$11:$B$58,$B29,'11.1.Амортиз.нови активи'!AD$11:AD$58))</f>
        <v>7.3731075864585272</v>
      </c>
      <c r="Q29" s="882">
        <f>P29+SUMIF('11.1.Амортиз.нови активи'!$B$11:$B$58,$B29,'11.1.Амортиз.нови активи'!Q$11:Q$58)+('9.Инвестиционна програма'!J$78*SUMIF('11.1.Амортиз.нови активи'!$B$11:$B$58,$B29,'11.1.Амортиз.нови активи'!AE$11:AE$58))</f>
        <v>8.0501331136505367</v>
      </c>
      <c r="R29" s="883">
        <f>Q29+SUMIF('11.1.Амортиз.нови активи'!$B$11:$B$58,$B29,'11.1.Амортиз.нови активи'!R$11:R$58)+('9.Инвестиционна програма'!K$78*SUMIF('11.1.Амортиз.нови активи'!$B$11:$B$58,$B29,'11.1.Амортиз.нови активи'!AF$11:AF$58))</f>
        <v>8.5572085853486506</v>
      </c>
      <c r="S29" s="2246">
        <v>5</v>
      </c>
      <c r="T29" s="881">
        <f>S29+SUMIF('11.1.Амортиз.нови активи'!$B$11:$B$58,$B29,'11.1.Амортиз.нови активи'!T$11:T$58)+('9.Инвестиционна програма'!F$79*SUMIF('11.1.Амортиз.нови активи'!$B$11:$B$58,$B29,'11.1.Амортиз.нови активи'!AA$11:AA$58))</f>
        <v>5.0373482726423902</v>
      </c>
      <c r="U29" s="882">
        <f>T29+SUMIF('11.1.Амортиз.нови активи'!$B$11:$B$58,$B29,'11.1.Амортиз.нови активи'!U$11:U$58)+('9.Инвестиционна програма'!G$79*SUMIF('11.1.Амортиз.нови активи'!$B$11:$B$58,$B29,'11.1.Амортиз.нови активи'!AB$11:AB$58))</f>
        <v>5.2541803196839192</v>
      </c>
      <c r="V29" s="882">
        <f>U29+SUMIF('11.1.Амортиз.нови активи'!$B$11:$B$58,$B29,'11.1.Амортиз.нови активи'!V$11:V$58)+('9.Инвестиционна програма'!H$79*SUMIF('11.1.Амортиз.нови активи'!$B$11:$B$58,$B29,'11.1.Амортиз.нови активи'!AC$11:AC$58))</f>
        <v>8.4346960789962395</v>
      </c>
      <c r="W29" s="882">
        <f>V29+SUMIF('11.1.Амортиз.нови активи'!$B$11:$B$58,$B29,'11.1.Амортиз.нови активи'!W$11:W$58)+('9.Инвестиционна програма'!I$79*SUMIF('11.1.Амортиз.нови активи'!$B$11:$B$58,$B29,'11.1.Амортиз.нови активи'!AD$11:AD$58))</f>
        <v>9.1102334382592893</v>
      </c>
      <c r="X29" s="882">
        <f>W29+SUMIF('11.1.Амортиз.нови активи'!$B$11:$B$58,$B29,'11.1.Амортиз.нови активи'!X$11:X$58)+('9.Инвестиционна програма'!J$79*SUMIF('11.1.Амортиз.нови активи'!$B$11:$B$58,$B29,'11.1.Амортиз.нови активи'!AE$11:AE$58))</f>
        <v>9.6762711741083454</v>
      </c>
      <c r="Y29" s="883">
        <f>X29+SUMIF('11.1.Амортиз.нови активи'!$B$11:$B$58,$B29,'11.1.Амортиз.нови активи'!Y$11:Y$58)+('9.Инвестиционна програма'!K$79*SUMIF('11.1.Амортиз.нови активи'!$B$11:$B$58,$B29,'11.1.Амортиз.нови активи'!AF$11:AF$58))</f>
        <v>10.395610796749855</v>
      </c>
      <c r="Z29" s="1672"/>
      <c r="AA29" s="1679"/>
      <c r="AB29" s="1642"/>
    </row>
    <row r="30" spans="1:28">
      <c r="A30" s="1690">
        <v>13</v>
      </c>
      <c r="B30" s="1687">
        <v>213</v>
      </c>
      <c r="C30" s="1691">
        <v>0.2</v>
      </c>
      <c r="D30" s="2393" t="s">
        <v>278</v>
      </c>
      <c r="E30" s="2246">
        <v>0</v>
      </c>
      <c r="F30" s="928">
        <f>E30+SUMIF('11.1.Амортиз.нови активи'!$B$11:$B$58,$B30,'11.1.Амортиз.нови активи'!F$11:F$58)+('9.Инвестиционна програма'!F$77*SUMIF('11.1.Амортиз.нови активи'!$B$11:$B$58,$B30,'11.1.Амортиз.нови активи'!AA$11:AA$58))</f>
        <v>0</v>
      </c>
      <c r="G30" s="882">
        <f>F30+SUMIF('11.1.Амортиз.нови активи'!$B$11:$B$58,$B30,'11.1.Амортиз.нови активи'!G$11:G$58)+('9.Инвестиционна програма'!G$77*SUMIF('11.1.Амортиз.нови активи'!$B$11:$B$58,$B30,'11.1.Амортиз.нови активи'!AB$11:AB$58))</f>
        <v>0</v>
      </c>
      <c r="H30" s="882">
        <f>G30+SUMIF('11.1.Амортиз.нови активи'!$B$11:$B$58,$B30,'11.1.Амортиз.нови активи'!H$11:H$58)+('9.Инвестиционна програма'!H$77*SUMIF('11.1.Амортиз.нови активи'!$B$11:$B$58,$B30,'11.1.Амортиз.нови активи'!AC$11:AC$58))</f>
        <v>0</v>
      </c>
      <c r="I30" s="882">
        <f>H30+SUMIF('11.1.Амортиз.нови активи'!$B$11:$B$58,$B30,'11.1.Амортиз.нови активи'!I$11:I$58)+('9.Инвестиционна програма'!I$77*SUMIF('11.1.Амортиз.нови активи'!$B$11:$B$58,$B30,'11.1.Амортиз.нови активи'!AD$11:AD$58))</f>
        <v>0</v>
      </c>
      <c r="J30" s="882">
        <f>I30+SUMIF('11.1.Амортиз.нови активи'!$B$11:$B$58,$B30,'11.1.Амортиз.нови активи'!J$11:J$58)+('9.Инвестиционна програма'!J$77*SUMIF('11.1.Амортиз.нови активи'!$B$11:$B$58,$B30,'11.1.Амортиз.нови активи'!AE$11:AE$58))</f>
        <v>0</v>
      </c>
      <c r="K30" s="883">
        <f>J30+SUMIF('11.1.Амортиз.нови активи'!$B$11:$B$58,$B30,'11.1.Амортиз.нови активи'!K$11:K$58)+('9.Инвестиционна програма'!K$77*SUMIF('11.1.Амортиз.нови активи'!$B$11:$B$58,$B30,'11.1.Амортиз.нови активи'!AF$11:AF$58))</f>
        <v>0</v>
      </c>
      <c r="L30" s="2246">
        <v>0</v>
      </c>
      <c r="M30" s="881">
        <f>L30+SUMIF('11.1.Амортиз.нови активи'!$B$11:$B$58,$B30,'11.1.Амортиз.нови активи'!M$11:M$58)+('9.Инвестиционна програма'!F$78*SUMIF('11.1.Амортиз.нови активи'!$B$11:$B$58,$B30,'11.1.Амортиз.нови активи'!AA$11:AA$58))</f>
        <v>0</v>
      </c>
      <c r="N30" s="882">
        <f>M30+SUMIF('11.1.Амортиз.нови активи'!$B$11:$B$58,$B30,'11.1.Амортиз.нови активи'!N$11:N$58)+('9.Инвестиционна програма'!G$78*SUMIF('11.1.Амортиз.нови активи'!$B$11:$B$58,$B30,'11.1.Амортиз.нови активи'!AB$11:AB$58))</f>
        <v>0</v>
      </c>
      <c r="O30" s="882">
        <f>N30+SUMIF('11.1.Амортиз.нови активи'!$B$11:$B$58,$B30,'11.1.Амортиз.нови активи'!O$11:O$58)+('9.Инвестиционна програма'!H$78*SUMIF('11.1.Амортиз.нови активи'!$B$11:$B$58,$B30,'11.1.Амортиз.нови активи'!AC$11:AC$58))</f>
        <v>0</v>
      </c>
      <c r="P30" s="882">
        <f>O30+SUMIF('11.1.Амортиз.нови активи'!$B$11:$B$58,$B30,'11.1.Амортиз.нови активи'!P$11:P$58)+('9.Инвестиционна програма'!I$78*SUMIF('11.1.Амортиз.нови активи'!$B$11:$B$58,$B30,'11.1.Амортиз.нови активи'!AD$11:AD$58))</f>
        <v>0</v>
      </c>
      <c r="Q30" s="882">
        <f>P30+SUMIF('11.1.Амортиз.нови активи'!$B$11:$B$58,$B30,'11.1.Амортиз.нови активи'!Q$11:Q$58)+('9.Инвестиционна програма'!J$78*SUMIF('11.1.Амортиз.нови активи'!$B$11:$B$58,$B30,'11.1.Амортиз.нови активи'!AE$11:AE$58))</f>
        <v>0</v>
      </c>
      <c r="R30" s="883">
        <f>Q30+SUMIF('11.1.Амортиз.нови активи'!$B$11:$B$58,$B30,'11.1.Амортиз.нови активи'!R$11:R$58)+('9.Инвестиционна програма'!K$78*SUMIF('11.1.Амортиз.нови активи'!$B$11:$B$58,$B30,'11.1.Амортиз.нови активи'!AF$11:AF$58))</f>
        <v>0</v>
      </c>
      <c r="S30" s="2246">
        <v>0</v>
      </c>
      <c r="T30" s="881">
        <f>S30+SUMIF('11.1.Амортиз.нови активи'!$B$11:$B$58,$B30,'11.1.Амортиз.нови активи'!T$11:T$58)+('9.Инвестиционна програма'!F$79*SUMIF('11.1.Амортиз.нови активи'!$B$11:$B$58,$B30,'11.1.Амортиз.нови активи'!AA$11:AA$58))</f>
        <v>0</v>
      </c>
      <c r="U30" s="882">
        <f>T30+SUMIF('11.1.Амортиз.нови активи'!$B$11:$B$58,$B30,'11.1.Амортиз.нови активи'!U$11:U$58)+('9.Инвестиционна програма'!G$79*SUMIF('11.1.Амортиз.нови активи'!$B$11:$B$58,$B30,'11.1.Амортиз.нови активи'!AB$11:AB$58))</f>
        <v>0</v>
      </c>
      <c r="V30" s="882">
        <f>U30+SUMIF('11.1.Амортиз.нови активи'!$B$11:$B$58,$B30,'11.1.Амортиз.нови активи'!V$11:V$58)+('9.Инвестиционна програма'!H$79*SUMIF('11.1.Амортиз.нови активи'!$B$11:$B$58,$B30,'11.1.Амортиз.нови активи'!AC$11:AC$58))</f>
        <v>0</v>
      </c>
      <c r="W30" s="882">
        <f>V30+SUMIF('11.1.Амортиз.нови активи'!$B$11:$B$58,$B30,'11.1.Амортиз.нови активи'!W$11:W$58)+('9.Инвестиционна програма'!I$79*SUMIF('11.1.Амортиз.нови активи'!$B$11:$B$58,$B30,'11.1.Амортиз.нови активи'!AD$11:AD$58))</f>
        <v>0</v>
      </c>
      <c r="X30" s="882">
        <f>W30+SUMIF('11.1.Амортиз.нови активи'!$B$11:$B$58,$B30,'11.1.Амортиз.нови активи'!X$11:X$58)+('9.Инвестиционна програма'!J$79*SUMIF('11.1.Амортиз.нови активи'!$B$11:$B$58,$B30,'11.1.Амортиз.нови активи'!AE$11:AE$58))</f>
        <v>0</v>
      </c>
      <c r="Y30" s="883">
        <f>X30+SUMIF('11.1.Амортиз.нови активи'!$B$11:$B$58,$B30,'11.1.Амортиз.нови активи'!Y$11:Y$58)+('9.Инвестиционна програма'!K$79*SUMIF('11.1.Амортиз.нови активи'!$B$11:$B$58,$B30,'11.1.Амортиз.нови активи'!AF$11:AF$58))</f>
        <v>0</v>
      </c>
      <c r="Z30" s="1672"/>
      <c r="AA30" s="1679"/>
      <c r="AB30" s="1642"/>
    </row>
    <row r="31" spans="1:28">
      <c r="A31" s="1690">
        <v>14</v>
      </c>
      <c r="B31" s="1692"/>
      <c r="C31" s="1692"/>
      <c r="D31" s="2399" t="s">
        <v>844</v>
      </c>
      <c r="E31" s="2246">
        <v>0</v>
      </c>
      <c r="F31" s="928">
        <f>E31+SUMIF('11.1.Амортиз.нови активи'!$B$11:$B$58,$B31,'11.1.Амортиз.нови активи'!F$11:F$58)+('9.Инвестиционна програма'!F$77*SUMIF('11.1.Амортиз.нови активи'!$B$11:$B$58,$B31,'11.1.Амортиз.нови активи'!AA$11:AA$58))</f>
        <v>0</v>
      </c>
      <c r="G31" s="882">
        <f>F31+SUMIF('11.1.Амортиз.нови активи'!$B$11:$B$58,$B31,'11.1.Амортиз.нови активи'!G$11:G$58)+('9.Инвестиционна програма'!G$77*SUMIF('11.1.Амортиз.нови активи'!$B$11:$B$58,$B31,'11.1.Амортиз.нови активи'!AB$11:AB$58))</f>
        <v>0</v>
      </c>
      <c r="H31" s="882">
        <f>G31+SUMIF('11.1.Амортиз.нови активи'!$B$11:$B$58,$B31,'11.1.Амортиз.нови активи'!H$11:H$58)+('9.Инвестиционна програма'!H$77*SUMIF('11.1.Амортиз.нови активи'!$B$11:$B$58,$B31,'11.1.Амортиз.нови активи'!AC$11:AC$58))</f>
        <v>0</v>
      </c>
      <c r="I31" s="882">
        <f>H31+SUMIF('11.1.Амортиз.нови активи'!$B$11:$B$58,$B31,'11.1.Амортиз.нови активи'!I$11:I$58)+('9.Инвестиционна програма'!I$77*SUMIF('11.1.Амортиз.нови активи'!$B$11:$B$58,$B31,'11.1.Амортиз.нови активи'!AD$11:AD$58))</f>
        <v>0</v>
      </c>
      <c r="J31" s="882">
        <f>I31+SUMIF('11.1.Амортиз.нови активи'!$B$11:$B$58,$B31,'11.1.Амортиз.нови активи'!J$11:J$58)+('9.Инвестиционна програма'!J$77*SUMIF('11.1.Амортиз.нови активи'!$B$11:$B$58,$B31,'11.1.Амортиз.нови активи'!AE$11:AE$58))</f>
        <v>0</v>
      </c>
      <c r="K31" s="883">
        <f>J31+SUMIF('11.1.Амортиз.нови активи'!$B$11:$B$58,$B31,'11.1.Амортиз.нови активи'!K$11:K$58)+('9.Инвестиционна програма'!K$77*SUMIF('11.1.Амортиз.нови активи'!$B$11:$B$58,$B31,'11.1.Амортиз.нови активи'!AF$11:AF$58))</f>
        <v>0</v>
      </c>
      <c r="L31" s="2246">
        <v>0</v>
      </c>
      <c r="M31" s="881">
        <f>L31+SUMIF('11.1.Амортиз.нови активи'!$B$11:$B$58,$B31,'11.1.Амортиз.нови активи'!M$11:M$58)+('9.Инвестиционна програма'!F$78*SUMIF('11.1.Амортиз.нови активи'!$B$11:$B$58,$B31,'11.1.Амортиз.нови активи'!AA$11:AA$58))</f>
        <v>0</v>
      </c>
      <c r="N31" s="882">
        <f>M31+SUMIF('11.1.Амортиз.нови активи'!$B$11:$B$58,$B31,'11.1.Амортиз.нови активи'!N$11:N$58)+('9.Инвестиционна програма'!G$78*SUMIF('11.1.Амортиз.нови активи'!$B$11:$B$58,$B31,'11.1.Амортиз.нови активи'!AB$11:AB$58))</f>
        <v>0</v>
      </c>
      <c r="O31" s="882">
        <f>N31+SUMIF('11.1.Амортиз.нови активи'!$B$11:$B$58,$B31,'11.1.Амортиз.нови активи'!O$11:O$58)+('9.Инвестиционна програма'!H$78*SUMIF('11.1.Амортиз.нови активи'!$B$11:$B$58,$B31,'11.1.Амортиз.нови активи'!AC$11:AC$58))</f>
        <v>0</v>
      </c>
      <c r="P31" s="882">
        <f>O31+SUMIF('11.1.Амортиз.нови активи'!$B$11:$B$58,$B31,'11.1.Амортиз.нови активи'!P$11:P$58)+('9.Инвестиционна програма'!I$78*SUMIF('11.1.Амортиз.нови активи'!$B$11:$B$58,$B31,'11.1.Амортиз.нови активи'!AD$11:AD$58))</f>
        <v>0</v>
      </c>
      <c r="Q31" s="882">
        <f>P31+SUMIF('11.1.Амортиз.нови активи'!$B$11:$B$58,$B31,'11.1.Амортиз.нови активи'!Q$11:Q$58)+('9.Инвестиционна програма'!J$78*SUMIF('11.1.Амортиз.нови активи'!$B$11:$B$58,$B31,'11.1.Амортиз.нови активи'!AE$11:AE$58))</f>
        <v>0</v>
      </c>
      <c r="R31" s="883">
        <f>Q31+SUMIF('11.1.Амортиз.нови активи'!$B$11:$B$58,$B31,'11.1.Амортиз.нови активи'!R$11:R$58)+('9.Инвестиционна програма'!K$78*SUMIF('11.1.Амортиз.нови активи'!$B$11:$B$58,$B31,'11.1.Амортиз.нови активи'!AF$11:AF$58))</f>
        <v>0</v>
      </c>
      <c r="S31" s="2246">
        <v>0</v>
      </c>
      <c r="T31" s="881">
        <f>S31+SUMIF('11.1.Амортиз.нови активи'!$B$11:$B$58,$B31,'11.1.Амортиз.нови активи'!T$11:T$58)+('9.Инвестиционна програма'!F$79*SUMIF('11.1.Амортиз.нови активи'!$B$11:$B$58,$B31,'11.1.Амортиз.нови активи'!AA$11:AA$58))</f>
        <v>0</v>
      </c>
      <c r="U31" s="882">
        <f>T31+SUMIF('11.1.Амортиз.нови активи'!$B$11:$B$58,$B31,'11.1.Амортиз.нови активи'!U$11:U$58)+('9.Инвестиционна програма'!G$79*SUMIF('11.1.Амортиз.нови активи'!$B$11:$B$58,$B31,'11.1.Амортиз.нови активи'!AB$11:AB$58))</f>
        <v>0</v>
      </c>
      <c r="V31" s="882">
        <f>U31+SUMIF('11.1.Амортиз.нови активи'!$B$11:$B$58,$B31,'11.1.Амортиз.нови активи'!V$11:V$58)+('9.Инвестиционна програма'!H$79*SUMIF('11.1.Амортиз.нови активи'!$B$11:$B$58,$B31,'11.1.Амортиз.нови активи'!AC$11:AC$58))</f>
        <v>0</v>
      </c>
      <c r="W31" s="882">
        <f>V31+SUMIF('11.1.Амортиз.нови активи'!$B$11:$B$58,$B31,'11.1.Амортиз.нови активи'!W$11:W$58)+('9.Инвестиционна програма'!I$79*SUMIF('11.1.Амортиз.нови активи'!$B$11:$B$58,$B31,'11.1.Амортиз.нови активи'!AD$11:AD$58))</f>
        <v>0</v>
      </c>
      <c r="X31" s="882">
        <f>W31+SUMIF('11.1.Амортиз.нови активи'!$B$11:$B$58,$B31,'11.1.Амортиз.нови активи'!X$11:X$58)+('9.Инвестиционна програма'!J$79*SUMIF('11.1.Амортиз.нови активи'!$B$11:$B$58,$B31,'11.1.Амортиз.нови активи'!AE$11:AE$58))</f>
        <v>0</v>
      </c>
      <c r="Y31" s="883">
        <f>X31+SUMIF('11.1.Амортиз.нови активи'!$B$11:$B$58,$B31,'11.1.Амортиз.нови активи'!Y$11:Y$58)+('9.Инвестиционна програма'!K$79*SUMIF('11.1.Амортиз.нови активи'!$B$11:$B$58,$B31,'11.1.Амортиз.нови активи'!AF$11:AF$58))</f>
        <v>0</v>
      </c>
      <c r="Z31" s="1672"/>
      <c r="AA31" s="1679"/>
      <c r="AB31" s="1642"/>
    </row>
    <row r="32" spans="1:28">
      <c r="A32" s="1690">
        <v>15</v>
      </c>
      <c r="B32" s="1687">
        <v>207</v>
      </c>
      <c r="C32" s="1687" t="s">
        <v>380</v>
      </c>
      <c r="D32" s="2400" t="s">
        <v>587</v>
      </c>
      <c r="E32" s="2246">
        <v>0</v>
      </c>
      <c r="F32" s="928">
        <f>E32+SUMIF('11.1.Амортиз.нови активи'!$B$11:$B$58,$B32,'11.1.Амортиз.нови активи'!F$11:F$58)+('9.Инвестиционна програма'!F$77*SUMIF('11.1.Амортиз.нови активи'!$B$11:$B$58,$B32,'11.1.Амортиз.нови активи'!AA$11:AA$58))</f>
        <v>0</v>
      </c>
      <c r="G32" s="882">
        <f>F32+SUMIF('11.1.Амортиз.нови активи'!$B$11:$B$58,$B32,'11.1.Амортиз.нови активи'!G$11:G$58)+('9.Инвестиционна програма'!G$77*SUMIF('11.1.Амортиз.нови активи'!$B$11:$B$58,$B32,'11.1.Амортиз.нови активи'!AB$11:AB$58))</f>
        <v>0</v>
      </c>
      <c r="H32" s="882">
        <f>G32+SUMIF('11.1.Амортиз.нови активи'!$B$11:$B$58,$B32,'11.1.Амортиз.нови активи'!H$11:H$58)+('9.Инвестиционна програма'!H$77*SUMIF('11.1.Амортиз.нови активи'!$B$11:$B$58,$B32,'11.1.Амортиз.нови активи'!AC$11:AC$58))</f>
        <v>0</v>
      </c>
      <c r="I32" s="882">
        <f>H32+SUMIF('11.1.Амортиз.нови активи'!$B$11:$B$58,$B32,'11.1.Амортиз.нови активи'!I$11:I$58)+('9.Инвестиционна програма'!I$77*SUMIF('11.1.Амортиз.нови активи'!$B$11:$B$58,$B32,'11.1.Амортиз.нови активи'!AD$11:AD$58))</f>
        <v>0</v>
      </c>
      <c r="J32" s="882">
        <f>I32+SUMIF('11.1.Амортиз.нови активи'!$B$11:$B$58,$B32,'11.1.Амортиз.нови активи'!J$11:J$58)+('9.Инвестиционна програма'!J$77*SUMIF('11.1.Амортиз.нови активи'!$B$11:$B$58,$B32,'11.1.Амортиз.нови активи'!AE$11:AE$58))</f>
        <v>0</v>
      </c>
      <c r="K32" s="883">
        <f>J32+SUMIF('11.1.Амортиз.нови активи'!$B$11:$B$58,$B32,'11.1.Амортиз.нови активи'!K$11:K$58)+('9.Инвестиционна програма'!K$77*SUMIF('11.1.Амортиз.нови активи'!$B$11:$B$58,$B32,'11.1.Амортиз.нови активи'!AF$11:AF$58))</f>
        <v>0</v>
      </c>
      <c r="L32" s="2246">
        <v>0</v>
      </c>
      <c r="M32" s="881">
        <f>L32+SUMIF('11.1.Амортиз.нови активи'!$B$11:$B$58,$B32,'11.1.Амортиз.нови активи'!M$11:M$58)+('9.Инвестиционна програма'!F$78*SUMIF('11.1.Амортиз.нови активи'!$B$11:$B$58,$B32,'11.1.Амортиз.нови активи'!AA$11:AA$58))</f>
        <v>0</v>
      </c>
      <c r="N32" s="882">
        <f>M32+SUMIF('11.1.Амортиз.нови активи'!$B$11:$B$58,$B32,'11.1.Амортиз.нови активи'!N$11:N$58)+('9.Инвестиционна програма'!G$78*SUMIF('11.1.Амортиз.нови активи'!$B$11:$B$58,$B32,'11.1.Амортиз.нови активи'!AB$11:AB$58))</f>
        <v>0</v>
      </c>
      <c r="O32" s="882">
        <f>N32+SUMIF('11.1.Амортиз.нови активи'!$B$11:$B$58,$B32,'11.1.Амортиз.нови активи'!O$11:O$58)+('9.Инвестиционна програма'!H$78*SUMIF('11.1.Амортиз.нови активи'!$B$11:$B$58,$B32,'11.1.Амортиз.нови активи'!AC$11:AC$58))</f>
        <v>0</v>
      </c>
      <c r="P32" s="882">
        <f>O32+SUMIF('11.1.Амортиз.нови активи'!$B$11:$B$58,$B32,'11.1.Амортиз.нови активи'!P$11:P$58)+('9.Инвестиционна програма'!I$78*SUMIF('11.1.Амортиз.нови активи'!$B$11:$B$58,$B32,'11.1.Амортиз.нови активи'!AD$11:AD$58))</f>
        <v>0</v>
      </c>
      <c r="Q32" s="882">
        <f>P32+SUMIF('11.1.Амортиз.нови активи'!$B$11:$B$58,$B32,'11.1.Амортиз.нови активи'!Q$11:Q$58)+('9.Инвестиционна програма'!J$78*SUMIF('11.1.Амортиз.нови активи'!$B$11:$B$58,$B32,'11.1.Амортиз.нови активи'!AE$11:AE$58))</f>
        <v>0</v>
      </c>
      <c r="R32" s="883">
        <f>Q32+SUMIF('11.1.Амортиз.нови активи'!$B$11:$B$58,$B32,'11.1.Амортиз.нови активи'!R$11:R$58)+('9.Инвестиционна програма'!K$78*SUMIF('11.1.Амортиз.нови активи'!$B$11:$B$58,$B32,'11.1.Амортиз.нови активи'!AF$11:AF$58))</f>
        <v>0</v>
      </c>
      <c r="S32" s="2246">
        <v>0</v>
      </c>
      <c r="T32" s="881">
        <f>S32+SUMIF('11.1.Амортиз.нови активи'!$B$11:$B$58,$B32,'11.1.Амортиз.нови активи'!T$11:T$58)+('9.Инвестиционна програма'!F$79*SUMIF('11.1.Амортиз.нови активи'!$B$11:$B$58,$B32,'11.1.Амортиз.нови активи'!AA$11:AA$58))</f>
        <v>0</v>
      </c>
      <c r="U32" s="882">
        <f>T32+SUMIF('11.1.Амортиз.нови активи'!$B$11:$B$58,$B32,'11.1.Амортиз.нови активи'!U$11:U$58)+('9.Инвестиционна програма'!G$79*SUMIF('11.1.Амортиз.нови активи'!$B$11:$B$58,$B32,'11.1.Амортиз.нови активи'!AB$11:AB$58))</f>
        <v>0</v>
      </c>
      <c r="V32" s="882">
        <f>U32+SUMIF('11.1.Амортиз.нови активи'!$B$11:$B$58,$B32,'11.1.Амортиз.нови активи'!V$11:V$58)+('9.Инвестиционна програма'!H$79*SUMIF('11.1.Амортиз.нови активи'!$B$11:$B$58,$B32,'11.1.Амортиз.нови активи'!AC$11:AC$58))</f>
        <v>0</v>
      </c>
      <c r="W32" s="882">
        <f>V32+SUMIF('11.1.Амортиз.нови активи'!$B$11:$B$58,$B32,'11.1.Амортиз.нови активи'!W$11:W$58)+('9.Инвестиционна програма'!I$79*SUMIF('11.1.Амортиз.нови активи'!$B$11:$B$58,$B32,'11.1.Амортиз.нови активи'!AD$11:AD$58))</f>
        <v>0</v>
      </c>
      <c r="X32" s="882">
        <f>W32+SUMIF('11.1.Амортиз.нови активи'!$B$11:$B$58,$B32,'11.1.Амортиз.нови активи'!X$11:X$58)+('9.Инвестиционна програма'!J$79*SUMIF('11.1.Амортиз.нови активи'!$B$11:$B$58,$B32,'11.1.Амортиз.нови активи'!AE$11:AE$58))</f>
        <v>0</v>
      </c>
      <c r="Y32" s="883">
        <f>X32+SUMIF('11.1.Амортиз.нови активи'!$B$11:$B$58,$B32,'11.1.Амортиз.нови активи'!Y$11:Y$58)+('9.Инвестиционна програма'!K$79*SUMIF('11.1.Амортиз.нови активи'!$B$11:$B$58,$B32,'11.1.Амортиз.нови активи'!AF$11:AF$58))</f>
        <v>0</v>
      </c>
      <c r="Z32" s="1672"/>
      <c r="AA32" s="1679"/>
      <c r="AB32" s="1642"/>
    </row>
    <row r="33" spans="1:28" ht="13.5" thickBot="1">
      <c r="A33" s="1690">
        <v>16</v>
      </c>
      <c r="B33" s="1693">
        <v>219</v>
      </c>
      <c r="C33" s="1694">
        <v>0.1</v>
      </c>
      <c r="D33" s="2401" t="s">
        <v>279</v>
      </c>
      <c r="E33" s="2247">
        <v>190</v>
      </c>
      <c r="F33" s="928">
        <f>E33+SUMIF('11.1.Амортиз.нови активи'!$B$11:$B$58,$B33,'11.1.Амортиз.нови активи'!F$11:F$58)+('9.Инвестиционна програма'!F$77*SUMIF('11.1.Амортиз.нови активи'!$B$11:$B$58,$B33,'11.1.Амортиз.нови активи'!AA$11:AA$58))</f>
        <v>190</v>
      </c>
      <c r="G33" s="882">
        <f>F33+SUMIF('11.1.Амортиз.нови активи'!$B$11:$B$58,$B33,'11.1.Амортиз.нови активи'!G$11:G$58)+('9.Инвестиционна програма'!G$77*SUMIF('11.1.Амортиз.нови активи'!$B$11:$B$58,$B33,'11.1.Амортиз.нови активи'!AB$11:AB$58))</f>
        <v>190</v>
      </c>
      <c r="H33" s="882">
        <f>G33+SUMIF('11.1.Амортиз.нови активи'!$B$11:$B$58,$B33,'11.1.Амортиз.нови активи'!H$11:H$58)+('9.Инвестиционна програма'!H$77*SUMIF('11.1.Амортиз.нови активи'!$B$11:$B$58,$B33,'11.1.Амортиз.нови активи'!AC$11:AC$58))</f>
        <v>190</v>
      </c>
      <c r="I33" s="882">
        <f>H33+SUMIF('11.1.Амортиз.нови активи'!$B$11:$B$58,$B33,'11.1.Амортиз.нови активи'!I$11:I$58)+('9.Инвестиционна програма'!I$77*SUMIF('11.1.Амортиз.нови активи'!$B$11:$B$58,$B33,'11.1.Амортиз.нови активи'!AD$11:AD$58))</f>
        <v>190</v>
      </c>
      <c r="J33" s="882">
        <f>I33+SUMIF('11.1.Амортиз.нови активи'!$B$11:$B$58,$B33,'11.1.Амортиз.нови активи'!J$11:J$58)+('9.Инвестиционна програма'!J$77*SUMIF('11.1.Амортиз.нови активи'!$B$11:$B$58,$B33,'11.1.Амортиз.нови активи'!AE$11:AE$58))</f>
        <v>190</v>
      </c>
      <c r="K33" s="883">
        <f>J33+SUMIF('11.1.Амортиз.нови активи'!$B$11:$B$58,$B33,'11.1.Амортиз.нови активи'!K$11:K$58)+('9.Инвестиционна програма'!K$77*SUMIF('11.1.Амортиз.нови активи'!$B$11:$B$58,$B33,'11.1.Амортиз.нови активи'!AF$11:AF$58))</f>
        <v>190</v>
      </c>
      <c r="L33" s="2247">
        <v>1</v>
      </c>
      <c r="M33" s="881">
        <f>L33+SUMIF('11.1.Амортиз.нови активи'!$B$11:$B$58,$B33,'11.1.Амортиз.нови активи'!M$11:M$58)+('9.Инвестиционна програма'!F$78*SUMIF('11.1.Амортиз.нови активи'!$B$11:$B$58,$B33,'11.1.Амортиз.нови активи'!AA$11:AA$58))</f>
        <v>1</v>
      </c>
      <c r="N33" s="882">
        <f>M33+SUMIF('11.1.Амортиз.нови активи'!$B$11:$B$58,$B33,'11.1.Амортиз.нови активи'!N$11:N$58)+('9.Инвестиционна програма'!G$78*SUMIF('11.1.Амортиз.нови активи'!$B$11:$B$58,$B33,'11.1.Амортиз.нови активи'!AB$11:AB$58))</f>
        <v>1</v>
      </c>
      <c r="O33" s="882">
        <f>N33+SUMIF('11.1.Амортиз.нови активи'!$B$11:$B$58,$B33,'11.1.Амортиз.нови активи'!O$11:O$58)+('9.Инвестиционна програма'!H$78*SUMIF('11.1.Амортиз.нови активи'!$B$11:$B$58,$B33,'11.1.Амортиз.нови активи'!AC$11:AC$58))</f>
        <v>1</v>
      </c>
      <c r="P33" s="882">
        <f>O33+SUMIF('11.1.Амортиз.нови активи'!$B$11:$B$58,$B33,'11.1.Амортиз.нови активи'!P$11:P$58)+('9.Инвестиционна програма'!I$78*SUMIF('11.1.Амортиз.нови активи'!$B$11:$B$58,$B33,'11.1.Амортиз.нови активи'!AD$11:AD$58))</f>
        <v>1</v>
      </c>
      <c r="Q33" s="882">
        <f>P33+SUMIF('11.1.Амортиз.нови активи'!$B$11:$B$58,$B33,'11.1.Амортиз.нови активи'!Q$11:Q$58)+('9.Инвестиционна програма'!J$78*SUMIF('11.1.Амортиз.нови активи'!$B$11:$B$58,$B33,'11.1.Амортиз.нови активи'!AE$11:AE$58))</f>
        <v>1</v>
      </c>
      <c r="R33" s="883">
        <f>Q33+SUMIF('11.1.Амортиз.нови активи'!$B$11:$B$58,$B33,'11.1.Амортиз.нови активи'!R$11:R$58)+('9.Инвестиционна програма'!K$78*SUMIF('11.1.Амортиз.нови активи'!$B$11:$B$58,$B33,'11.1.Амортиз.нови активи'!AF$11:AF$58))</f>
        <v>1</v>
      </c>
      <c r="S33" s="2247">
        <v>2</v>
      </c>
      <c r="T33" s="881">
        <f>S33+SUMIF('11.1.Амортиз.нови активи'!$B$11:$B$58,$B33,'11.1.Амортиз.нови активи'!T$11:T$58)+('9.Инвестиционна програма'!F$79*SUMIF('11.1.Амортиз.нови активи'!$B$11:$B$58,$B33,'11.1.Амортиз.нови активи'!AA$11:AA$58))</f>
        <v>2</v>
      </c>
      <c r="U33" s="882">
        <f>T33+SUMIF('11.1.Амортиз.нови активи'!$B$11:$B$58,$B33,'11.1.Амортиз.нови активи'!U$11:U$58)+('9.Инвестиционна програма'!G$79*SUMIF('11.1.Амортиз.нови активи'!$B$11:$B$58,$B33,'11.1.Амортиз.нови активи'!AB$11:AB$58))</f>
        <v>2</v>
      </c>
      <c r="V33" s="882">
        <f>U33+SUMIF('11.1.Амортиз.нови активи'!$B$11:$B$58,$B33,'11.1.Амортиз.нови активи'!V$11:V$58)+('9.Инвестиционна програма'!H$79*SUMIF('11.1.Амортиз.нови активи'!$B$11:$B$58,$B33,'11.1.Амортиз.нови активи'!AC$11:AC$58))</f>
        <v>2</v>
      </c>
      <c r="W33" s="882">
        <f>V33+SUMIF('11.1.Амортиз.нови активи'!$B$11:$B$58,$B33,'11.1.Амортиз.нови активи'!W$11:W$58)+('9.Инвестиционна програма'!I$79*SUMIF('11.1.Амортиз.нови активи'!$B$11:$B$58,$B33,'11.1.Амортиз.нови активи'!AD$11:AD$58))</f>
        <v>2</v>
      </c>
      <c r="X33" s="882">
        <f>W33+SUMIF('11.1.Амортиз.нови активи'!$B$11:$B$58,$B33,'11.1.Амортиз.нови активи'!X$11:X$58)+('9.Инвестиционна програма'!J$79*SUMIF('11.1.Амортиз.нови активи'!$B$11:$B$58,$B33,'11.1.Амортиз.нови активи'!AE$11:AE$58))</f>
        <v>2</v>
      </c>
      <c r="Y33" s="883">
        <f>X33+SUMIF('11.1.Амортиз.нови активи'!$B$11:$B$58,$B33,'11.1.Амортиз.нови активи'!Y$11:Y$58)+('9.Инвестиционна програма'!K$79*SUMIF('11.1.Амортиз.нови активи'!$B$11:$B$58,$B33,'11.1.Амортиз.нови активи'!AF$11:AF$58))</f>
        <v>2</v>
      </c>
      <c r="Z33" s="1672"/>
      <c r="AA33" s="1679"/>
      <c r="AB33" s="1642"/>
    </row>
    <row r="34" spans="1:28" ht="13.5" thickBot="1">
      <c r="A34" s="1695" t="s">
        <v>269</v>
      </c>
      <c r="B34" s="1696"/>
      <c r="C34" s="1696"/>
      <c r="D34" s="1666" t="s">
        <v>281</v>
      </c>
      <c r="E34" s="650">
        <f t="shared" ref="E34:Y34" si="6">SUM(E35:E58)-E37-E43</f>
        <v>706</v>
      </c>
      <c r="F34" s="242">
        <f t="shared" si="6"/>
        <v>785.64251863532127</v>
      </c>
      <c r="G34" s="243">
        <f t="shared" si="6"/>
        <v>851.10912115067822</v>
      </c>
      <c r="H34" s="243">
        <f t="shared" si="6"/>
        <v>854.08558280886314</v>
      </c>
      <c r="I34" s="243">
        <f t="shared" si="6"/>
        <v>848.47531211104001</v>
      </c>
      <c r="J34" s="243">
        <f t="shared" si="6"/>
        <v>847.91937649086765</v>
      </c>
      <c r="K34" s="244">
        <f t="shared" si="6"/>
        <v>843.08777842955135</v>
      </c>
      <c r="L34" s="650">
        <f t="shared" si="6"/>
        <v>67</v>
      </c>
      <c r="M34" s="242">
        <f t="shared" si="6"/>
        <v>66.421641341743126</v>
      </c>
      <c r="N34" s="243">
        <f t="shared" si="6"/>
        <v>153.40350969458876</v>
      </c>
      <c r="O34" s="243">
        <f t="shared" si="6"/>
        <v>241.94580610397446</v>
      </c>
      <c r="P34" s="243">
        <f t="shared" si="6"/>
        <v>242.49868404179085</v>
      </c>
      <c r="Q34" s="243">
        <f t="shared" si="6"/>
        <v>242.37670868664355</v>
      </c>
      <c r="R34" s="244">
        <f t="shared" si="6"/>
        <v>245.31122468266767</v>
      </c>
      <c r="S34" s="650">
        <f t="shared" si="6"/>
        <v>25</v>
      </c>
      <c r="T34" s="242">
        <f t="shared" si="6"/>
        <v>33.960840022935784</v>
      </c>
      <c r="U34" s="243">
        <f t="shared" si="6"/>
        <v>33.727369154733239</v>
      </c>
      <c r="V34" s="243">
        <f t="shared" si="6"/>
        <v>52.558611087162689</v>
      </c>
      <c r="W34" s="243">
        <f t="shared" si="6"/>
        <v>72.066003847169341</v>
      </c>
      <c r="X34" s="243">
        <f t="shared" si="6"/>
        <v>68.243914822488833</v>
      </c>
      <c r="Y34" s="244">
        <f t="shared" si="6"/>
        <v>66.540996887780878</v>
      </c>
      <c r="Z34" s="1667"/>
      <c r="AA34" s="1668">
        <f>(SUM(F$34:Y$34)-L$34-S$34)+(SUM(F$130:Y$130)-L$130-S$130)+(SUM(F$213:Y$213)-L$213-S$213)-((K$59-E$59)+(R$59-L$59)+(Y$59-S$59)+(K$150-E$150)+(R$150-L$150)+(Y$150-S$150)+(K$235-E$235)+(R$235-L$235)+(Y$235-S$235))</f>
        <v>0</v>
      </c>
      <c r="AB34" s="1642"/>
    </row>
    <row r="35" spans="1:28">
      <c r="A35" s="1669">
        <v>1</v>
      </c>
      <c r="B35" s="1697">
        <v>20101</v>
      </c>
      <c r="C35" s="1671">
        <v>0</v>
      </c>
      <c r="D35" s="1622" t="s">
        <v>758</v>
      </c>
      <c r="E35" s="2246">
        <v>0</v>
      </c>
      <c r="F35" s="896">
        <f>$E35-SUMIF('11.2. Нови активи отч.год.'!$B$61:$B$108,$B35,'11.2. Нови активи отч.год.'!$E$61:$E$108)+SUMIF('11.2. Нови активи отч.год.'!$B$61:$B$108,$B35,'11.2. Нови активи отч.год.'!F$61:F$108)+SUMIF('11.1.Амортиз.нови активи'!$B$60:$B$107,$B35,'11.1.Амортиз.нови активи'!F$60:F$107)+('11.1.Амортиз.нови активи'!F$109*SUMIF('11.1.Амортиз.нови активи'!$B$60:$B$107,$B35,'11.1.Амортиз.нови активи'!AA$60:AA$107))</f>
        <v>0</v>
      </c>
      <c r="G35" s="897">
        <f>$E35-SUMIF('11.2. Нови активи отч.год.'!$B$61:$B$108,$B35,'11.2. Нови активи отч.год.'!$E$61:$E$108)+SUMIF('11.2. Нови активи отч.год.'!$B$61:$B$108,$B35,'11.2. Нови активи отч.год.'!G$61:G$108)+SUMIF('11.1.Амортиз.нови активи'!$B$60:$B$107,$B35,'11.1.Амортиз.нови активи'!G$60:G$107)+('11.1.Амортиз.нови активи'!G$109*SUMIF('11.1.Амортиз.нови активи'!$B$60:$B$107,$B35,'11.1.Амортиз.нови активи'!AB$60:AB$107))</f>
        <v>0</v>
      </c>
      <c r="H35" s="897">
        <f>$E35-SUMIF('11.2. Нови активи отч.год.'!$B$61:$B$108,$B35,'11.2. Нови активи отч.год.'!$E$61:$E$108)+SUMIF('11.2. Нови активи отч.год.'!$B$61:$B$108,$B35,'11.2. Нови активи отч.год.'!H$61:H$108)+SUMIF('11.1.Амортиз.нови активи'!$B$60:$B$107,$B35,'11.1.Амортиз.нови активи'!H$60:H$107)+('11.1.Амортиз.нови активи'!H$109*SUMIF('11.1.Амортиз.нови активи'!$B$60:$B$107,$B35,'11.1.Амортиз.нови активи'!AC$60:AC$107))</f>
        <v>0</v>
      </c>
      <c r="I35" s="897">
        <f>$E35-SUMIF('11.2. Нови активи отч.год.'!$B$61:$B$108,$B35,'11.2. Нови активи отч.год.'!$E$61:$E$108)+SUMIF('11.2. Нови активи отч.год.'!$B$61:$B$108,$B35,'11.2. Нови активи отч.год.'!I$61:I$108)+SUMIF('11.1.Амортиз.нови активи'!$B$60:$B$107,$B35,'11.1.Амортиз.нови активи'!I$60:I$107)+('11.1.Амортиз.нови активи'!I$109*SUMIF('11.1.Амортиз.нови активи'!$B$60:$B$107,$B35,'11.1.Амортиз.нови активи'!AD$60:AD$107))</f>
        <v>0</v>
      </c>
      <c r="J35" s="897">
        <f>$E35-SUMIF('11.2. Нови активи отч.год.'!$B$61:$B$108,$B35,'11.2. Нови активи отч.год.'!$E$61:$E$108)+SUMIF('11.2. Нови активи отч.год.'!$B$61:$B$108,$B35,'11.2. Нови активи отч.год.'!J$61:J$108)+SUMIF('11.1.Амортиз.нови активи'!$B$60:$B$107,$B35,'11.1.Амортиз.нови активи'!J$60:J$107)+('11.1.Амортиз.нови активи'!J$109*SUMIF('11.1.Амортиз.нови активи'!$B$60:$B$107,$B35,'11.1.Амортиз.нови активи'!AE$60:AE$107))</f>
        <v>0</v>
      </c>
      <c r="K35" s="898">
        <f>$E35-SUMIF('11.2. Нови активи отч.год.'!$B$61:$B$108,$B35,'11.2. Нови активи отч.год.'!$E$61:$E$108)+SUMIF('11.2. Нови активи отч.год.'!$B$61:$B$108,$B35,'11.2. Нови активи отч.год.'!K$61:K$108)+SUMIF('11.1.Амортиз.нови активи'!$B$60:$B$107,$B35,'11.1.Амортиз.нови активи'!K$60:K$107)+('11.1.Амортиз.нови активи'!K$109*SUMIF('11.1.Амортиз.нови активи'!$B$60:$B$107,$B35,'11.1.Амортиз.нови активи'!AF$60:AF$107))</f>
        <v>0</v>
      </c>
      <c r="L35" s="2246">
        <v>0</v>
      </c>
      <c r="M35" s="896">
        <f>$L35-SUMIF('11.2. Нови активи отч.год.'!$B$61:$B$108,$B35,'11.2. Нови активи отч.год.'!$L$61:$L$108)+SUMIF('11.2. Нови активи отч.год.'!$B$61:$B$108,$B35,'11.2. Нови активи отч.год.'!M$61:M$108)+SUMIF('11.1.Амортиз.нови активи'!$B$60:$B$107,$B35,'11.1.Амортиз.нови активи'!M$60:M$107)+('11.1.Амортиз.нови активи'!F$110*SUMIF('11.1.Амортиз.нови активи'!$B$60:$B$107,$B35,'11.1.Амортиз.нови активи'!AA$60:AA$107))</f>
        <v>0</v>
      </c>
      <c r="N35" s="897">
        <f>$L35-SUMIF('11.2. Нови активи отч.год.'!$B$61:$B$108,$B35,'11.2. Нови активи отч.год.'!$L$61:$L$108)+SUMIF('11.2. Нови активи отч.год.'!$B$61:$B$108,$B35,'11.2. Нови активи отч.год.'!N$61:N$108)+SUMIF('11.1.Амортиз.нови активи'!$B$60:$B$107,$B35,'11.1.Амортиз.нови активи'!N$60:N$107)+('11.1.Амортиз.нови активи'!G$110*SUMIF('11.1.Амортиз.нови активи'!$B$60:$B$107,$B35,'11.1.Амортиз.нови активи'!AB$60:AB$107))</f>
        <v>0</v>
      </c>
      <c r="O35" s="897">
        <f>$L35-SUMIF('11.2. Нови активи отч.год.'!$B$61:$B$108,$B35,'11.2. Нови активи отч.год.'!$L$61:$L$108)+SUMIF('11.2. Нови активи отч.год.'!$B$61:$B$108,$B35,'11.2. Нови активи отч.год.'!O$61:O$108)+SUMIF('11.1.Амортиз.нови активи'!$B$60:$B$107,$B35,'11.1.Амортиз.нови активи'!O$60:O$107)+('11.1.Амортиз.нови активи'!H$110*SUMIF('11.1.Амортиз.нови активи'!$B$60:$B$107,$B35,'11.1.Амортиз.нови активи'!AC$60:AC$107))</f>
        <v>0</v>
      </c>
      <c r="P35" s="897">
        <f>$L35-SUMIF('11.2. Нови активи отч.год.'!$B$61:$B$108,$B35,'11.2. Нови активи отч.год.'!$L$61:$L$108)+SUMIF('11.2. Нови активи отч.год.'!$B$61:$B$108,$B35,'11.2. Нови активи отч.год.'!P$61:P$108)+SUMIF('11.1.Амортиз.нови активи'!$B$60:$B$107,$B35,'11.1.Амортиз.нови активи'!P$60:P$107)+('11.1.Амортиз.нови активи'!I$110*SUMIF('11.1.Амортиз.нови активи'!$B$60:$B$107,$B35,'11.1.Амортиз.нови активи'!AD$60:AD$107))</f>
        <v>0</v>
      </c>
      <c r="Q35" s="897">
        <f>$L35-SUMIF('11.2. Нови активи отч.год.'!$B$61:$B$108,$B35,'11.2. Нови активи отч.год.'!$L$61:$L$108)+SUMIF('11.2. Нови активи отч.год.'!$B$61:$B$108,$B35,'11.2. Нови активи отч.год.'!Q$61:Q$108)+SUMIF('11.1.Амортиз.нови активи'!$B$60:$B$107,$B35,'11.1.Амортиз.нови активи'!Q$60:Q$107)+('11.1.Амортиз.нови активи'!J$110*SUMIF('11.1.Амортиз.нови активи'!$B$60:$B$107,$B35,'11.1.Амортиз.нови активи'!AE$60:AE$107))</f>
        <v>0</v>
      </c>
      <c r="R35" s="898">
        <f>$L35-SUMIF('11.2. Нови активи отч.год.'!$B$61:$B$108,$B35,'11.2. Нови активи отч.год.'!$L$61:$L$108)+SUMIF('11.2. Нови активи отч.год.'!$B$61:$B$108,$B35,'11.2. Нови активи отч.год.'!R$61:R$108)+SUMIF('11.1.Амортиз.нови активи'!$B$60:$B$107,$B35,'11.1.Амортиз.нови активи'!R$60:R$107)+('11.1.Амортиз.нови активи'!K$110*SUMIF('11.1.Амортиз.нови активи'!$B$60:$B$107,$B35,'11.1.Амортиз.нови активи'!AF$60:AF$107))</f>
        <v>0</v>
      </c>
      <c r="S35" s="2246">
        <v>0</v>
      </c>
      <c r="T35" s="896">
        <f>$S35-SUMIF('11.2. Нови активи отч.год.'!$B$61:$B$108,$B35,'11.2. Нови активи отч.год.'!$S$61:$S$108)+SUMIF('11.2. Нови активи отч.год.'!$B$61:$B$108,$B35,'11.2. Нови активи отч.год.'!T$61:T$108)+SUMIF('11.1.Амортиз.нови активи'!$B$60:$B$107,$B35,'11.1.Амортиз.нови активи'!T$60:T$107)+('11.1.Амортиз.нови активи'!F$111*SUMIF('11.1.Амортиз.нови активи'!$B$60:$B$107,$B35,'11.1.Амортиз.нови активи'!AA$60:AA$107))</f>
        <v>0</v>
      </c>
      <c r="U35" s="897">
        <f>$S35-SUMIF('11.2. Нови активи отч.год.'!$B$61:$B$108,$B35,'11.2. Нови активи отч.год.'!$S$61:$S$108)+SUMIF('11.2. Нови активи отч.год.'!$B$61:$B$108,$B35,'11.2. Нови активи отч.год.'!U$61:U$108)+SUMIF('11.1.Амортиз.нови активи'!$B$60:$B$107,$B35,'11.1.Амортиз.нови активи'!U$60:U$107)+('11.1.Амортиз.нови активи'!G$111*SUMIF('11.1.Амортиз.нови активи'!$B$60:$B$107,$B35,'11.1.Амортиз.нови активи'!AB$60:AB$107))</f>
        <v>0</v>
      </c>
      <c r="V35" s="897">
        <f>$S35-SUMIF('11.2. Нови активи отч.год.'!$B$61:$B$108,$B35,'11.2. Нови активи отч.год.'!$S$61:$S$108)+SUMIF('11.2. Нови активи отч.год.'!$B$61:$B$108,$B35,'11.2. Нови активи отч.год.'!V$61:V$108)+SUMIF('11.1.Амортиз.нови активи'!$B$60:$B$107,$B35,'11.1.Амортиз.нови активи'!V$60:V$107)+('11.1.Амортиз.нови активи'!H$111*SUMIF('11.1.Амортиз.нови активи'!$B$60:$B$107,$B35,'11.1.Амортиз.нови активи'!AC$60:AC$107))</f>
        <v>0</v>
      </c>
      <c r="W35" s="897">
        <f>$S35-SUMIF('11.2. Нови активи отч.год.'!$B$61:$B$108,$B35,'11.2. Нови активи отч.год.'!$S$61:$S$108)+SUMIF('11.2. Нови активи отч.год.'!$B$61:$B$108,$B35,'11.2. Нови активи отч.год.'!W$61:W$108)+SUMIF('11.1.Амортиз.нови активи'!$B$60:$B$107,$B35,'11.1.Амортиз.нови активи'!W$60:W$107)+('11.1.Амортиз.нови активи'!I$111*SUMIF('11.1.Амортиз.нови активи'!$B$60:$B$107,$B35,'11.1.Амортиз.нови активи'!AD$60:AD$107))</f>
        <v>0</v>
      </c>
      <c r="X35" s="897">
        <f>$S35-SUMIF('11.2. Нови активи отч.год.'!$B$61:$B$108,$B35,'11.2. Нови активи отч.год.'!$S$61:$S$108)+SUMIF('11.2. Нови активи отч.год.'!$B$61:$B$108,$B35,'11.2. Нови активи отч.год.'!X$61:X$108)+SUMIF('11.1.Амортиз.нови активи'!$B$60:$B$107,$B35,'11.1.Амортиз.нови активи'!X$60:X$107)+('11.1.Амортиз.нови активи'!J$111*SUMIF('11.1.Амортиз.нови активи'!$B$60:$B$107,$B35,'11.1.Амортиз.нови активи'!AE$60:AE$107))</f>
        <v>0</v>
      </c>
      <c r="Y35" s="898">
        <f>$S35-SUMIF('11.2. Нови активи отч.год.'!$B$61:$B$108,$B35,'11.2. Нови активи отч.год.'!$S$61:$S$108)+SUMIF('11.2. Нови активи отч.год.'!$B$61:$B$108,$B35,'11.2. Нови активи отч.год.'!Y$61:Y$108)+SUMIF('11.1.Амортиз.нови активи'!$B$60:$B$107,$B35,'11.1.Амортиз.нови активи'!Y$60:Y$107)+('11.1.Амортиз.нови активи'!K$111*SUMIF('11.1.Амортиз.нови активи'!$B$60:$B$107,$B35,'11.1.Амортиз.нови активи'!AF$60:AF$107))</f>
        <v>0</v>
      </c>
      <c r="Z35" s="1698"/>
      <c r="AA35" s="1699"/>
      <c r="AB35" s="1642"/>
    </row>
    <row r="36" spans="1:28">
      <c r="A36" s="1674">
        <v>2</v>
      </c>
      <c r="B36" s="1700">
        <v>20201</v>
      </c>
      <c r="C36" s="1676">
        <v>0.03</v>
      </c>
      <c r="D36" s="1623" t="s">
        <v>597</v>
      </c>
      <c r="E36" s="2747">
        <v>86</v>
      </c>
      <c r="F36" s="893">
        <f>$E36-SUMIF('11.2. Нови активи отч.год.'!$B$61:$B$108,$B36,'11.2. Нови активи отч.год.'!$E$61:$E$108)+SUMIF('11.2. Нови активи отч.год.'!$B$61:$B$108,$B36,'11.2. Нови активи отч.год.'!F$61:F$108)+SUMIF('11.1.Амортиз.нови активи'!$B$60:$B$107,$B36,'11.1.Амортиз.нови активи'!F$60:F$107)+('11.1.Амортиз.нови активи'!F$109*SUMIF('11.1.Амортиз.нови активи'!$B$60:$B$107,$B36,'11.1.Амортиз.нови активи'!AA$60:AA$107))</f>
        <v>96.566555332568811</v>
      </c>
      <c r="G36" s="894">
        <f>$E36-SUMIF('11.2. Нови активи отч.год.'!$B$61:$B$108,$B36,'11.2. Нови активи отч.год.'!$E$61:$E$108)+SUMIF('11.2. Нови активи отч.год.'!$B$61:$B$108,$B36,'11.2. Нови активи отч.год.'!G$61:G$108)+SUMIF('11.1.Амортиз.нови активи'!$B$60:$B$107,$B36,'11.1.Амортиз.нови активи'!G$60:G$107)+('11.1.Амортиз.нови активи'!G$109*SUMIF('11.1.Амортиз.нови активи'!$B$60:$B$107,$B36,'11.1.Амортиз.нови активи'!AB$60:AB$107))</f>
        <v>100.53766506146242</v>
      </c>
      <c r="H36" s="894">
        <f>$E36-SUMIF('11.2. Нови активи отч.год.'!$B$61:$B$108,$B36,'11.2. Нови активи отч.год.'!$E$61:$E$108)+SUMIF('11.2. Нови активи отч.год.'!$B$61:$B$108,$B36,'11.2. Нови активи отч.год.'!H$61:H$108)+SUMIF('11.1.Амортиз.нови активи'!$B$60:$B$107,$B36,'11.1.Амортиз.нови активи'!H$60:H$107)+('11.1.Амортиз.нови активи'!H$109*SUMIF('11.1.Амортиз.нови активи'!$B$60:$B$107,$B36,'11.1.Амортиз.нови активи'!AC$60:AC$107))</f>
        <v>101.57530476765238</v>
      </c>
      <c r="I36" s="894">
        <f>$E36-SUMIF('11.2. Нови активи отч.год.'!$B$61:$B$108,$B36,'11.2. Нови активи отч.год.'!$E$61:$E$108)+SUMIF('11.2. Нови активи отч.год.'!$B$61:$B$108,$B36,'11.2. Нови активи отч.год.'!I$61:I$108)+SUMIF('11.1.Амортиз.нови активи'!$B$60:$B$107,$B36,'11.1.Амортиз.нови активи'!I$60:I$107)+('11.1.Амортиз.нови активи'!I$109*SUMIF('11.1.Амортиз.нови активи'!$B$60:$B$107,$B36,'11.1.Амортиз.нови активи'!AD$60:AD$107))</f>
        <v>104.45309923433787</v>
      </c>
      <c r="J36" s="894">
        <f>$E36-SUMIF('11.2. Нови активи отч.год.'!$B$61:$B$108,$B36,'11.2. Нови активи отч.год.'!$E$61:$E$108)+SUMIF('11.2. Нови активи отч.год.'!$B$61:$B$108,$B36,'11.2. Нови активи отч.год.'!J$61:J$108)+SUMIF('11.1.Амортиз.нови активи'!$B$60:$B$107,$B36,'11.1.Амортиз.нови активи'!J$60:J$107)+('11.1.Амортиз.нови активи'!J$109*SUMIF('11.1.Амортиз.нови активи'!$B$60:$B$107,$B36,'11.1.Амортиз.нови активи'!AE$60:AE$107))</f>
        <v>107.7301293681333</v>
      </c>
      <c r="K36" s="895">
        <f>$E36-SUMIF('11.2. Нови активи отч.год.'!$B$61:$B$108,$B36,'11.2. Нови активи отч.год.'!$E$61:$E$108)+SUMIF('11.2. Нови активи отч.год.'!$B$61:$B$108,$B36,'11.2. Нови активи отч.год.'!K$61:K$108)+SUMIF('11.1.Амортиз.нови активи'!$B$60:$B$107,$B36,'11.1.Амортиз.нови активи'!K$60:K$107)+('11.1.Амортиз.нови активи'!K$109*SUMIF('11.1.Амортиз.нови активи'!$B$60:$B$107,$B36,'11.1.Амортиз.нови активи'!AF$60:AF$107))</f>
        <v>111.04708803832429</v>
      </c>
      <c r="L36" s="2747">
        <v>0</v>
      </c>
      <c r="M36" s="893">
        <f>$L36-SUMIF('11.2. Нови активи отч.год.'!$B$61:$B$108,$B36,'11.2. Нови активи отч.год.'!$L$61:$L$108)+SUMIF('11.2. Нови активи отч.год.'!$B$61:$B$108,$B36,'11.2. Нови активи отч.год.'!M$61:M$108)+SUMIF('11.1.Амортиз.нови активи'!$B$60:$B$107,$B36,'11.1.Амортиз.нови активи'!M$60:M$107)+('11.1.Амортиз.нови активи'!F$110*SUMIF('11.1.Амортиз.нови активи'!$B$60:$B$107,$B36,'11.1.Амортиз.нови активи'!AA$60:AA$107))</f>
        <v>0.11641198394495413</v>
      </c>
      <c r="N36" s="894">
        <f>$L36-SUMIF('11.2. Нови активи отч.год.'!$B$61:$B$108,$B36,'11.2. Нови активи отч.год.'!$L$61:$L$108)+SUMIF('11.2. Нови активи отч.год.'!$B$61:$B$108,$B36,'11.2. Нови активи отч.год.'!N$61:N$108)+SUMIF('11.1.Амортиз.нови активи'!$B$60:$B$107,$B36,'11.1.Амортиз.нови активи'!N$60:N$107)+('11.1.Амортиз.нови активи'!G$110*SUMIF('11.1.Амортиз.нови активи'!$B$60:$B$107,$B36,'11.1.Амортиз.нови активи'!AB$60:AB$107))</f>
        <v>3.306065771131669</v>
      </c>
      <c r="O36" s="894">
        <f>$L36-SUMIF('11.2. Нови активи отч.год.'!$B$61:$B$108,$B36,'11.2. Нови активи отч.год.'!$L$61:$L$108)+SUMIF('11.2. Нови активи отч.год.'!$B$61:$B$108,$B36,'11.2. Нови активи отч.год.'!O$61:O$108)+SUMIF('11.1.Амортиз.нови активи'!$B$60:$B$107,$B36,'11.1.Амортиз.нови активи'!O$60:O$107)+('11.1.Амортиз.нови активи'!H$110*SUMIF('11.1.Амортиз.нови активи'!$B$60:$B$107,$B36,'11.1.Амортиз.нови активи'!AC$60:AC$107))</f>
        <v>6.040754375377186</v>
      </c>
      <c r="P36" s="894">
        <f>$L36-SUMIF('11.2. Нови активи отч.год.'!$B$61:$B$108,$B36,'11.2. Нови активи отч.год.'!$L$61:$L$108)+SUMIF('11.2. Нови активи отч.год.'!$B$61:$B$108,$B36,'11.2. Нови активи отч.год.'!P$61:P$108)+SUMIF('11.1.Амортиз.нови активи'!$B$60:$B$107,$B36,'11.1.Амортиз.нови активи'!P$60:P$107)+('11.1.Амортиз.нови активи'!I$110*SUMIF('11.1.Амортиз.нови активи'!$B$60:$B$107,$B36,'11.1.Амортиз.нови активи'!AD$60:AD$107))</f>
        <v>6.7355550107494429</v>
      </c>
      <c r="Q36" s="894">
        <f>$L36-SUMIF('11.2. Нови активи отч.год.'!$B$61:$B$108,$B36,'11.2. Нови активи отч.год.'!$L$61:$L$108)+SUMIF('11.2. Нови активи отч.год.'!$B$61:$B$108,$B36,'11.2. Нови активи отч.год.'!Q$61:Q$108)+SUMIF('11.1.Амортиз.нови активи'!$B$60:$B$107,$B36,'11.1.Амортиз.нови активи'!Q$60:Q$107)+('11.1.Амортиз.нови активи'!J$110*SUMIF('11.1.Амортиз.нови активи'!$B$60:$B$107,$B36,'11.1.Амортиз.нови активи'!AE$60:AE$107))</f>
        <v>7.5816267651002018</v>
      </c>
      <c r="R36" s="895">
        <f>$L36-SUMIF('11.2. Нови активи отч.год.'!$B$61:$B$108,$B36,'11.2. Нови активи отч.год.'!$L$61:$L$108)+SUMIF('11.2. Нови активи отч.год.'!$B$61:$B$108,$B36,'11.2. Нови активи отч.год.'!R$61:R$108)+SUMIF('11.1.Амортиз.нови активи'!$B$60:$B$107,$B36,'11.1.Амортиз.нови активи'!R$60:R$107)+('11.1.Амортиз.нови активи'!K$110*SUMIF('11.1.Амортиз.нови активи'!$B$60:$B$107,$B36,'11.1.Амортиз.нови активи'!AF$60:AF$107))</f>
        <v>8.3750906780075258</v>
      </c>
      <c r="S36" s="2747">
        <v>2</v>
      </c>
      <c r="T36" s="893">
        <f>$S36-SUMIF('11.2. Нови активи отч.год.'!$B$61:$B$108,$B36,'11.2. Нови активи отч.год.'!$S$61:$S$108)+SUMIF('11.2. Нови активи отч.год.'!$B$61:$B$108,$B36,'11.2. Нови активи отч.год.'!T$61:T$108)+SUMIF('11.1.Амортиз.нови активи'!$B$60:$B$107,$B36,'11.1.Амортиз.нови активи'!T$60:T$107)+('11.1.Амортиз.нови активи'!F$111*SUMIF('11.1.Амортиз.нови активи'!$B$60:$B$107,$B36,'11.1.Амортиз.нови активи'!AA$60:AA$107))</f>
        <v>2.3720326834862382</v>
      </c>
      <c r="U36" s="894">
        <f>$S36-SUMIF('11.2. Нови активи отч.год.'!$B$61:$B$108,$B36,'11.2. Нови активи отч.год.'!$S$61:$S$108)+SUMIF('11.2. Нови активи отч.год.'!$B$61:$B$108,$B36,'11.2. Нови активи отч.год.'!U$61:U$108)+SUMIF('11.1.Амортиз.нови активи'!$B$60:$B$107,$B36,'11.1.Амортиз.нови активи'!U$60:U$107)+('11.1.Амортиз.нови активи'!G$111*SUMIF('11.1.Амортиз.нови активи'!$B$60:$B$107,$B36,'11.1.Амортиз.нови активи'!AB$60:AB$107))</f>
        <v>2.4862691674059052</v>
      </c>
      <c r="V36" s="894">
        <f>$S36-SUMIF('11.2. Нови активи отч.год.'!$B$61:$B$108,$B36,'11.2. Нови активи отч.год.'!$S$61:$S$108)+SUMIF('11.2. Нови активи отч.год.'!$B$61:$B$108,$B36,'11.2. Нови активи отч.год.'!V$61:V$108)+SUMIF('11.1.Амортиз.нови активи'!$B$60:$B$107,$B36,'11.1.Амортиз.нови активи'!V$60:V$107)+('11.1.Амортиз.нови активи'!H$111*SUMIF('11.1.Амортиз.нови активи'!$B$60:$B$107,$B36,'11.1.Амортиз.нови активи'!AC$60:AC$107))</f>
        <v>3.213940856970428</v>
      </c>
      <c r="W36" s="894">
        <f>$S36-SUMIF('11.2. Нови активи отч.год.'!$B$61:$B$108,$B36,'11.2. Нови активи отч.год.'!$S$61:$S$108)+SUMIF('11.2. Нови активи отч.год.'!$B$61:$B$108,$B36,'11.2. Нови активи отч.год.'!W$61:W$108)+SUMIF('11.1.Амортиз.нови активи'!$B$60:$B$107,$B36,'11.1.Амортиз.нови активи'!W$60:W$107)+('11.1.Амортиз.нови активи'!I$111*SUMIF('11.1.Амортиз.нови активи'!$B$60:$B$107,$B36,'11.1.Амортиз.нови активи'!AD$60:AD$107))</f>
        <v>4.1413457549126846</v>
      </c>
      <c r="X36" s="894">
        <f>$S36-SUMIF('11.2. Нови активи отч.год.'!$B$61:$B$108,$B36,'11.2. Нови активи отч.год.'!$S$61:$S$108)+SUMIF('11.2. Нови активи отч.год.'!$B$61:$B$108,$B36,'11.2. Нови активи отч.год.'!X$61:X$108)+SUMIF('11.1.Амортиз.нови активи'!$B$60:$B$107,$B36,'11.1.Амортиз.нови активи'!X$60:X$107)+('11.1.Амортиз.нови активи'!J$111*SUMIF('11.1.Амортиз.нови активи'!$B$60:$B$107,$B36,'11.1.Амортиз.нови активи'!AE$60:AE$107))</f>
        <v>4.5182438667664924</v>
      </c>
      <c r="Y36" s="895">
        <f>$S36-SUMIF('11.2. Нови активи отч.год.'!$B$61:$B$108,$B36,'11.2. Нови активи отч.год.'!$S$61:$S$108)+SUMIF('11.2. Нови активи отч.год.'!$B$61:$B$108,$B36,'11.2. Нови активи отч.год.'!Y$61:Y$108)+SUMIF('11.1.Амортиз.нови активи'!$B$60:$B$107,$B36,'11.1.Амортиз.нови активи'!Y$60:Y$107)+('11.1.Амортиз.нови активи'!K$111*SUMIF('11.1.Амортиз.нови активи'!$B$60:$B$107,$B36,'11.1.Амортиз.нови активи'!AF$60:AF$107))</f>
        <v>4.9078212836681816</v>
      </c>
      <c r="Z36" s="1698"/>
      <c r="AA36" s="1677"/>
      <c r="AB36" s="1642"/>
    </row>
    <row r="37" spans="1:28" ht="26.25" customHeight="1">
      <c r="A37" s="1674">
        <v>3</v>
      </c>
      <c r="B37" s="1700">
        <v>203</v>
      </c>
      <c r="C37" s="1671"/>
      <c r="D37" s="1624" t="s">
        <v>577</v>
      </c>
      <c r="E37" s="1678">
        <f>SUM(E38:E41)</f>
        <v>356</v>
      </c>
      <c r="F37" s="958">
        <f t="shared" ref="F37:Y37" si="7">SUM(F38:F41)</f>
        <v>392.15000000000003</v>
      </c>
      <c r="G37" s="954">
        <f t="shared" si="7"/>
        <v>430.25</v>
      </c>
      <c r="H37" s="954">
        <f t="shared" si="7"/>
        <v>430.15000000000003</v>
      </c>
      <c r="I37" s="954">
        <f t="shared" si="7"/>
        <v>420.05000000000007</v>
      </c>
      <c r="J37" s="954">
        <f t="shared" si="7"/>
        <v>423.95000000000005</v>
      </c>
      <c r="K37" s="954">
        <f t="shared" si="7"/>
        <v>427.85</v>
      </c>
      <c r="L37" s="1678">
        <f>SUM(L38:L41)</f>
        <v>5</v>
      </c>
      <c r="M37" s="958">
        <f t="shared" si="7"/>
        <v>5</v>
      </c>
      <c r="N37" s="954">
        <f t="shared" si="7"/>
        <v>16</v>
      </c>
      <c r="O37" s="954">
        <f t="shared" si="7"/>
        <v>27</v>
      </c>
      <c r="P37" s="954">
        <f t="shared" si="7"/>
        <v>25</v>
      </c>
      <c r="Q37" s="954">
        <f t="shared" si="7"/>
        <v>22</v>
      </c>
      <c r="R37" s="954">
        <f t="shared" si="7"/>
        <v>22</v>
      </c>
      <c r="S37" s="1678">
        <f>SUM(S38:S41)</f>
        <v>15</v>
      </c>
      <c r="T37" s="953">
        <f t="shared" si="7"/>
        <v>21.5</v>
      </c>
      <c r="U37" s="954">
        <f t="shared" si="7"/>
        <v>24</v>
      </c>
      <c r="V37" s="954">
        <f t="shared" si="7"/>
        <v>32</v>
      </c>
      <c r="W37" s="954">
        <f t="shared" si="7"/>
        <v>39</v>
      </c>
      <c r="X37" s="954">
        <f t="shared" si="7"/>
        <v>35</v>
      </c>
      <c r="Y37" s="957">
        <f t="shared" si="7"/>
        <v>37</v>
      </c>
      <c r="Z37" s="1701"/>
      <c r="AA37" s="1702"/>
      <c r="AB37" s="1642"/>
    </row>
    <row r="38" spans="1:28">
      <c r="A38" s="1674"/>
      <c r="B38" s="1675">
        <v>20301</v>
      </c>
      <c r="C38" s="1680">
        <v>0.1</v>
      </c>
      <c r="D38" s="1625" t="s">
        <v>599</v>
      </c>
      <c r="E38" s="2246">
        <v>48</v>
      </c>
      <c r="F38" s="893">
        <f>$E38-SUMIF('11.2. Нови активи отч.год.'!$B$61:$B$108,$B38,'11.2. Нови активи отч.год.'!$E$61:$E$108)+SUMIF('11.2. Нови активи отч.год.'!$B$61:$B$108,$B38,'11.2. Нови активи отч.год.'!F$61:F$108)+SUMIF('11.1.Амортиз.нови активи'!$B$60:$B$107,$B38,'11.1.Амортиз.нови активи'!F$60:F$107)+('11.1.Амортиз.нови активи'!F$109*SUMIF('11.1.Амортиз.нови активи'!$B$60:$B$107,$B38,'11.1.Амортиз.нови активи'!AA$60:AA$107))</f>
        <v>48.5</v>
      </c>
      <c r="G38" s="894">
        <f>$E38-SUMIF('11.2. Нови активи отч.год.'!$B$61:$B$108,$B38,'11.2. Нови активи отч.год.'!$E$61:$E$108)+SUMIF('11.2. Нови активи отч.год.'!$B$61:$B$108,$B38,'11.2. Нови активи отч.год.'!G$61:G$108)+SUMIF('11.1.Амортиз.нови активи'!$B$60:$B$107,$B38,'11.1.Амортиз.нови активи'!G$60:G$107)+('11.1.Амортиз.нови активи'!G$109*SUMIF('11.1.Амортиз.нови активи'!$B$60:$B$107,$B38,'11.1.Амортиз.нови активи'!AB$60:AB$107))</f>
        <v>48.5</v>
      </c>
      <c r="H38" s="894">
        <f>$E38-SUMIF('11.2. Нови активи отч.год.'!$B$61:$B$108,$B38,'11.2. Нови активи отч.год.'!$E$61:$E$108)+SUMIF('11.2. Нови активи отч.год.'!$B$61:$B$108,$B38,'11.2. Нови активи отч.год.'!H$61:H$108)+SUMIF('11.1.Амортиз.нови активи'!$B$60:$B$107,$B38,'11.1.Амортиз.нови активи'!H$60:H$107)+('11.1.Амортиз.нови активи'!H$109*SUMIF('11.1.Амортиз.нови активи'!$B$60:$B$107,$B38,'11.1.Амортиз.нови активи'!AC$60:AC$107))</f>
        <v>48.5</v>
      </c>
      <c r="I38" s="894">
        <f>$E38-SUMIF('11.2. Нови активи отч.год.'!$B$61:$B$108,$B38,'11.2. Нови активи отч.год.'!$E$61:$E$108)+SUMIF('11.2. Нови активи отч.год.'!$B$61:$B$108,$B38,'11.2. Нови активи отч.год.'!I$61:I$108)+SUMIF('11.1.Амортиз.нови активи'!$B$60:$B$107,$B38,'11.1.Амортиз.нови активи'!I$60:I$107)+('11.1.Амортиз.нови активи'!I$109*SUMIF('11.1.Амортиз.нови активи'!$B$60:$B$107,$B38,'11.1.Амортиз.нови активи'!AD$60:AD$107))</f>
        <v>48.5</v>
      </c>
      <c r="J38" s="894">
        <f>$E38-SUMIF('11.2. Нови активи отч.год.'!$B$61:$B$108,$B38,'11.2. Нови активи отч.год.'!$E$61:$E$108)+SUMIF('11.2. Нови активи отч.год.'!$B$61:$B$108,$B38,'11.2. Нови активи отч.год.'!J$61:J$108)+SUMIF('11.1.Амортиз.нови активи'!$B$60:$B$107,$B38,'11.1.Амортиз.нови активи'!J$60:J$107)+('11.1.Амортиз.нови активи'!J$109*SUMIF('11.1.Амортиз.нови активи'!$B$60:$B$107,$B38,'11.1.Амортиз.нови активи'!AE$60:AE$107))</f>
        <v>48.5</v>
      </c>
      <c r="K38" s="895">
        <f>$E38-SUMIF('11.2. Нови активи отч.год.'!$B$61:$B$108,$B38,'11.2. Нови активи отч.год.'!$E$61:$E$108)+SUMIF('11.2. Нови активи отч.год.'!$B$61:$B$108,$B38,'11.2. Нови активи отч.год.'!K$61:K$108)+SUMIF('11.1.Амортиз.нови активи'!$B$60:$B$107,$B38,'11.1.Амортиз.нови активи'!K$60:K$107)+('11.1.Амортиз.нови активи'!K$109*SUMIF('11.1.Амортиз.нови активи'!$B$60:$B$107,$B38,'11.1.Амортиз.нови активи'!AF$60:AF$107))</f>
        <v>48.5</v>
      </c>
      <c r="L38" s="2246">
        <v>0</v>
      </c>
      <c r="M38" s="893">
        <f>$L38-SUMIF('11.2. Нови активи отч.год.'!$B$61:$B$108,$B38,'11.2. Нови активи отч.год.'!$L$61:$L$108)+SUMIF('11.2. Нови активи отч.год.'!$B$61:$B$108,$B38,'11.2. Нови активи отч.год.'!M$61:M$108)+SUMIF('11.1.Амортиз.нови активи'!$B$60:$B$107,$B38,'11.1.Амортиз.нови активи'!M$60:M$107)+('11.1.Амортиз.нови активи'!F$110*SUMIF('11.1.Амортиз.нови активи'!$B$60:$B$107,$B38,'11.1.Амортиз.нови активи'!AA$60:AA$107))</f>
        <v>0</v>
      </c>
      <c r="N38" s="894">
        <f>$L38-SUMIF('11.2. Нови активи отч.год.'!$B$61:$B$108,$B38,'11.2. Нови активи отч.год.'!$L$61:$L$108)+SUMIF('11.2. Нови активи отч.год.'!$B$61:$B$108,$B38,'11.2. Нови активи отч.год.'!N$61:N$108)+SUMIF('11.1.Амортиз.нови активи'!$B$60:$B$107,$B38,'11.1.Амортиз.нови активи'!N$60:N$107)+('11.1.Амортиз.нови активи'!G$110*SUMIF('11.1.Амортиз.нови активи'!$B$60:$B$107,$B38,'11.1.Амортиз.нови активи'!AB$60:AB$107))</f>
        <v>0</v>
      </c>
      <c r="O38" s="894">
        <f>$L38-SUMIF('11.2. Нови активи отч.год.'!$B$61:$B$108,$B38,'11.2. Нови активи отч.год.'!$L$61:$L$108)+SUMIF('11.2. Нови активи отч.год.'!$B$61:$B$108,$B38,'11.2. Нови активи отч.год.'!O$61:O$108)+SUMIF('11.1.Амортиз.нови активи'!$B$60:$B$107,$B38,'11.1.Амортиз.нови активи'!O$60:O$107)+('11.1.Амортиз.нови активи'!H$110*SUMIF('11.1.Амортиз.нови активи'!$B$60:$B$107,$B38,'11.1.Амортиз.нови активи'!AC$60:AC$107))</f>
        <v>0</v>
      </c>
      <c r="P38" s="894">
        <f>$L38-SUMIF('11.2. Нови активи отч.год.'!$B$61:$B$108,$B38,'11.2. Нови активи отч.год.'!$L$61:$L$108)+SUMIF('11.2. Нови активи отч.год.'!$B$61:$B$108,$B38,'11.2. Нови активи отч.год.'!P$61:P$108)+SUMIF('11.1.Амортиз.нови активи'!$B$60:$B$107,$B38,'11.1.Амортиз.нови активи'!P$60:P$107)+('11.1.Амортиз.нови активи'!I$110*SUMIF('11.1.Амортиз.нови активи'!$B$60:$B$107,$B38,'11.1.Амортиз.нови активи'!AD$60:AD$107))</f>
        <v>0</v>
      </c>
      <c r="Q38" s="894">
        <f>$L38-SUMIF('11.2. Нови активи отч.год.'!$B$61:$B$108,$B38,'11.2. Нови активи отч.год.'!$L$61:$L$108)+SUMIF('11.2. Нови активи отч.год.'!$B$61:$B$108,$B38,'11.2. Нови активи отч.год.'!Q$61:Q$108)+SUMIF('11.1.Амортиз.нови активи'!$B$60:$B$107,$B38,'11.1.Амортиз.нови активи'!Q$60:Q$107)+('11.1.Амортиз.нови активи'!J$110*SUMIF('11.1.Амортиз.нови активи'!$B$60:$B$107,$B38,'11.1.Амортиз.нови активи'!AE$60:AE$107))</f>
        <v>0</v>
      </c>
      <c r="R38" s="895">
        <f>$L38-SUMIF('11.2. Нови активи отч.год.'!$B$61:$B$108,$B38,'11.2. Нови активи отч.год.'!$L$61:$L$108)+SUMIF('11.2. Нови активи отч.год.'!$B$61:$B$108,$B38,'11.2. Нови активи отч.год.'!R$61:R$108)+SUMIF('11.1.Амортиз.нови активи'!$B$60:$B$107,$B38,'11.1.Амортиз.нови активи'!R$60:R$107)+('11.1.Амортиз.нови активи'!K$110*SUMIF('11.1.Амортиз.нови активи'!$B$60:$B$107,$B38,'11.1.Амортиз.нови активи'!AF$60:AF$107))</f>
        <v>0</v>
      </c>
      <c r="S38" s="2246">
        <v>2</v>
      </c>
      <c r="T38" s="893">
        <f>$S38-SUMIF('11.2. Нови активи отч.год.'!$B$61:$B$108,$B38,'11.2. Нови активи отч.год.'!$S$61:$S$108)+SUMIF('11.2. Нови активи отч.год.'!$B$61:$B$108,$B38,'11.2. Нови активи отч.год.'!T$61:T$108)+SUMIF('11.1.Амортиз.нови активи'!$B$60:$B$107,$B38,'11.1.Амортиз.нови активи'!T$60:T$107)+('11.1.Амортиз.нови активи'!F$111*SUMIF('11.1.Амортиз.нови активи'!$B$60:$B$107,$B38,'11.1.Амортиз.нови активи'!AA$60:AA$107))</f>
        <v>2</v>
      </c>
      <c r="U38" s="894">
        <f>$S38-SUMIF('11.2. Нови активи отч.год.'!$B$61:$B$108,$B38,'11.2. Нови активи отч.год.'!$S$61:$S$108)+SUMIF('11.2. Нови активи отч.год.'!$B$61:$B$108,$B38,'11.2. Нови активи отч.год.'!U$61:U$108)+SUMIF('11.1.Амортиз.нови активи'!$B$60:$B$107,$B38,'11.1.Амортиз.нови активи'!U$60:U$107)+('11.1.Амортиз.нови активи'!G$111*SUMIF('11.1.Амортиз.нови активи'!$B$60:$B$107,$B38,'11.1.Амортиз.нови активи'!AB$60:AB$107))</f>
        <v>2</v>
      </c>
      <c r="V38" s="894">
        <f>$S38-SUMIF('11.2. Нови активи отч.год.'!$B$61:$B$108,$B38,'11.2. Нови активи отч.год.'!$S$61:$S$108)+SUMIF('11.2. Нови активи отч.год.'!$B$61:$B$108,$B38,'11.2. Нови активи отч.год.'!V$61:V$108)+SUMIF('11.1.Амортиз.нови активи'!$B$60:$B$107,$B38,'11.1.Амортиз.нови активи'!V$60:V$107)+('11.1.Амортиз.нови активи'!H$111*SUMIF('11.1.Амортиз.нови активи'!$B$60:$B$107,$B38,'11.1.Амортиз.нови активи'!AC$60:AC$107))</f>
        <v>2</v>
      </c>
      <c r="W38" s="894">
        <f>$S38-SUMIF('11.2. Нови активи отч.год.'!$B$61:$B$108,$B38,'11.2. Нови активи отч.год.'!$S$61:$S$108)+SUMIF('11.2. Нови активи отч.год.'!$B$61:$B$108,$B38,'11.2. Нови активи отч.год.'!W$61:W$108)+SUMIF('11.1.Амортиз.нови активи'!$B$60:$B$107,$B38,'11.1.Амортиз.нови активи'!W$60:W$107)+('11.1.Амортиз.нови активи'!I$111*SUMIF('11.1.Амортиз.нови активи'!$B$60:$B$107,$B38,'11.1.Амортиз.нови активи'!AD$60:AD$107))</f>
        <v>2</v>
      </c>
      <c r="X38" s="894">
        <f>$S38-SUMIF('11.2. Нови активи отч.год.'!$B$61:$B$108,$B38,'11.2. Нови активи отч.год.'!$S$61:$S$108)+SUMIF('11.2. Нови активи отч.год.'!$B$61:$B$108,$B38,'11.2. Нови активи отч.год.'!X$61:X$108)+SUMIF('11.1.Амортиз.нови активи'!$B$60:$B$107,$B38,'11.1.Амортиз.нови активи'!X$60:X$107)+('11.1.Амортиз.нови активи'!J$111*SUMIF('11.1.Амортиз.нови активи'!$B$60:$B$107,$B38,'11.1.Амортиз.нови активи'!AE$60:AE$107))</f>
        <v>2</v>
      </c>
      <c r="Y38" s="895">
        <f>$S38-SUMIF('11.2. Нови активи отч.год.'!$B$61:$B$108,$B38,'11.2. Нови активи отч.год.'!$S$61:$S$108)+SUMIF('11.2. Нови активи отч.год.'!$B$61:$B$108,$B38,'11.2. Нови активи отч.год.'!Y$61:Y$108)+SUMIF('11.1.Амортиз.нови активи'!$B$60:$B$107,$B38,'11.1.Амортиз.нови активи'!Y$60:Y$107)+('11.1.Амортиз.нови активи'!K$111*SUMIF('11.1.Амортиз.нови активи'!$B$60:$B$107,$B38,'11.1.Амортиз.нови активи'!AF$60:AF$107))</f>
        <v>2</v>
      </c>
      <c r="Z38" s="1672"/>
      <c r="AA38" s="1702"/>
      <c r="AB38" s="1642"/>
    </row>
    <row r="39" spans="1:28">
      <c r="A39" s="1674"/>
      <c r="B39" s="1675">
        <v>20302</v>
      </c>
      <c r="C39" s="1680">
        <v>0.1</v>
      </c>
      <c r="D39" s="1625" t="s">
        <v>600</v>
      </c>
      <c r="E39" s="2246">
        <v>18</v>
      </c>
      <c r="F39" s="893">
        <f>$E39-SUMIF('11.2. Нови активи отч.год.'!$B$61:$B$108,$B39,'11.2. Нови активи отч.год.'!$E$61:$E$108)+SUMIF('11.2. Нови активи отч.год.'!$B$61:$B$108,$B39,'11.2. Нови активи отч.год.'!F$61:F$108)+SUMIF('11.1.Амортиз.нови активи'!$B$60:$B$107,$B39,'11.1.Амортиз.нови активи'!F$60:F$107)+('11.1.Амортиз.нови активи'!F$109*SUMIF('11.1.Амортиз.нови активи'!$B$60:$B$107,$B39,'11.1.Амортиз.нови активи'!AA$60:AA$107))</f>
        <v>17.900000000000002</v>
      </c>
      <c r="G39" s="894">
        <f>$E39-SUMIF('11.2. Нови активи отч.год.'!$B$61:$B$108,$B39,'11.2. Нови активи отч.год.'!$E$61:$E$108)+SUMIF('11.2. Нови активи отч.год.'!$B$61:$B$108,$B39,'11.2. Нови активи отч.год.'!G$61:G$108)+SUMIF('11.1.Амортиз.нови активи'!$B$60:$B$107,$B39,'11.1.Амортиз.нови активи'!G$60:G$107)+('11.1.Амортиз.нови активи'!G$109*SUMIF('11.1.Амортиз.нови активи'!$B$60:$B$107,$B39,'11.1.Амортиз.нови активи'!AB$60:AB$107))</f>
        <v>17.900000000000002</v>
      </c>
      <c r="H39" s="894">
        <f>$E39-SUMIF('11.2. Нови активи отч.год.'!$B$61:$B$108,$B39,'11.2. Нови активи отч.год.'!$E$61:$E$108)+SUMIF('11.2. Нови активи отч.год.'!$B$61:$B$108,$B39,'11.2. Нови активи отч.год.'!H$61:H$108)+SUMIF('11.1.Амортиз.нови активи'!$B$60:$B$107,$B39,'11.1.Амортиз.нови активи'!H$60:H$107)+('11.1.Амортиз.нови активи'!H$109*SUMIF('11.1.Амортиз.нови активи'!$B$60:$B$107,$B39,'11.1.Амортиз.нови активи'!AC$60:AC$107))</f>
        <v>13.900000000000002</v>
      </c>
      <c r="I39" s="894">
        <f>$E39-SUMIF('11.2. Нови активи отч.год.'!$B$61:$B$108,$B39,'11.2. Нови активи отч.год.'!$E$61:$E$108)+SUMIF('11.2. Нови активи отч.год.'!$B$61:$B$108,$B39,'11.2. Нови активи отч.год.'!I$61:I$108)+SUMIF('11.1.Амортиз.нови активи'!$B$60:$B$107,$B39,'11.1.Амортиз.нови активи'!I$60:I$107)+('11.1.Амортиз.нови активи'!I$109*SUMIF('11.1.Амортиз.нови активи'!$B$60:$B$107,$B39,'11.1.Амортиз.нови активи'!AD$60:AD$107))</f>
        <v>-9.9999999999997868E-2</v>
      </c>
      <c r="J39" s="894">
        <f>$E39-SUMIF('11.2. Нови активи отч.год.'!$B$61:$B$108,$B39,'11.2. Нови активи отч.год.'!$E$61:$E$108)+SUMIF('11.2. Нови активи отч.год.'!$B$61:$B$108,$B39,'11.2. Нови активи отч.год.'!J$61:J$108)+SUMIF('11.1.Амортиз.нови активи'!$B$60:$B$107,$B39,'11.1.Амортиз.нови активи'!J$60:J$107)+('11.1.Амортиз.нови активи'!J$109*SUMIF('11.1.Амортиз.нови активи'!$B$60:$B$107,$B39,'11.1.Амортиз.нови активи'!AE$60:AE$107))</f>
        <v>-9.9999999999997868E-2</v>
      </c>
      <c r="K39" s="895">
        <f>$E39-SUMIF('11.2. Нови активи отч.год.'!$B$61:$B$108,$B39,'11.2. Нови активи отч.год.'!$E$61:$E$108)+SUMIF('11.2. Нови активи отч.год.'!$B$61:$B$108,$B39,'11.2. Нови активи отч.год.'!K$61:K$108)+SUMIF('11.1.Амортиз.нови активи'!$B$60:$B$107,$B39,'11.1.Амортиз.нови активи'!K$60:K$107)+('11.1.Амортиз.нови активи'!K$109*SUMIF('11.1.Амортиз.нови активи'!$B$60:$B$107,$B39,'11.1.Амортиз.нови активи'!AF$60:AF$107))</f>
        <v>-9.9999999999997868E-2</v>
      </c>
      <c r="L39" s="2246">
        <v>0</v>
      </c>
      <c r="M39" s="893">
        <f>$L39-SUMIF('11.2. Нови активи отч.год.'!$B$61:$B$108,$B39,'11.2. Нови активи отч.год.'!$L$61:$L$108)+SUMIF('11.2. Нови активи отч.год.'!$B$61:$B$108,$B39,'11.2. Нови активи отч.год.'!M$61:M$108)+SUMIF('11.1.Амортиз.нови активи'!$B$60:$B$107,$B39,'11.1.Амортиз.нови активи'!M$60:M$107)+('11.1.Амортиз.нови активи'!F$110*SUMIF('11.1.Амортиз.нови активи'!$B$60:$B$107,$B39,'11.1.Амортиз.нови активи'!AA$60:AA$107))</f>
        <v>0</v>
      </c>
      <c r="N39" s="894">
        <f>$L39-SUMIF('11.2. Нови активи отч.год.'!$B$61:$B$108,$B39,'11.2. Нови активи отч.год.'!$L$61:$L$108)+SUMIF('11.2. Нови активи отч.год.'!$B$61:$B$108,$B39,'11.2. Нови активи отч.год.'!N$61:N$108)+SUMIF('11.1.Амортиз.нови активи'!$B$60:$B$107,$B39,'11.1.Амортиз.нови активи'!N$60:N$107)+('11.1.Амортиз.нови активи'!G$110*SUMIF('11.1.Амортиз.нови активи'!$B$60:$B$107,$B39,'11.1.Амортиз.нови активи'!AB$60:AB$107))</f>
        <v>0</v>
      </c>
      <c r="O39" s="894">
        <f>$L39-SUMIF('11.2. Нови активи отч.год.'!$B$61:$B$108,$B39,'11.2. Нови активи отч.год.'!$L$61:$L$108)+SUMIF('11.2. Нови активи отч.год.'!$B$61:$B$108,$B39,'11.2. Нови активи отч.год.'!O$61:O$108)+SUMIF('11.1.Амортиз.нови активи'!$B$60:$B$107,$B39,'11.1.Амортиз.нови активи'!O$60:O$107)+('11.1.Амортиз.нови активи'!H$110*SUMIF('11.1.Амортиз.нови активи'!$B$60:$B$107,$B39,'11.1.Амортиз.нови активи'!AC$60:AC$107))</f>
        <v>0</v>
      </c>
      <c r="P39" s="894">
        <f>$L39-SUMIF('11.2. Нови активи отч.год.'!$B$61:$B$108,$B39,'11.2. Нови активи отч.год.'!$L$61:$L$108)+SUMIF('11.2. Нови активи отч.год.'!$B$61:$B$108,$B39,'11.2. Нови активи отч.год.'!P$61:P$108)+SUMIF('11.1.Амортиз.нови активи'!$B$60:$B$107,$B39,'11.1.Амортиз.нови активи'!P$60:P$107)+('11.1.Амортиз.нови активи'!I$110*SUMIF('11.1.Амортиз.нови активи'!$B$60:$B$107,$B39,'11.1.Амортиз.нови активи'!AD$60:AD$107))</f>
        <v>0</v>
      </c>
      <c r="Q39" s="894">
        <f>$L39-SUMIF('11.2. Нови активи отч.год.'!$B$61:$B$108,$B39,'11.2. Нови активи отч.год.'!$L$61:$L$108)+SUMIF('11.2. Нови активи отч.год.'!$B$61:$B$108,$B39,'11.2. Нови активи отч.год.'!Q$61:Q$108)+SUMIF('11.1.Амортиз.нови активи'!$B$60:$B$107,$B39,'11.1.Амортиз.нови активи'!Q$60:Q$107)+('11.1.Амортиз.нови активи'!J$110*SUMIF('11.1.Амортиз.нови активи'!$B$60:$B$107,$B39,'11.1.Амортиз.нови активи'!AE$60:AE$107))</f>
        <v>0</v>
      </c>
      <c r="R39" s="895">
        <f>$L39-SUMIF('11.2. Нови активи отч.год.'!$B$61:$B$108,$B39,'11.2. Нови активи отч.год.'!$L$61:$L$108)+SUMIF('11.2. Нови активи отч.год.'!$B$61:$B$108,$B39,'11.2. Нови активи отч.год.'!R$61:R$108)+SUMIF('11.1.Амортиз.нови активи'!$B$60:$B$107,$B39,'11.1.Амортиз.нови активи'!R$60:R$107)+('11.1.Амортиз.нови активи'!K$110*SUMIF('11.1.Амортиз.нови активи'!$B$60:$B$107,$B39,'11.1.Амортиз.нови активи'!AF$60:AF$107))</f>
        <v>0</v>
      </c>
      <c r="S39" s="2246">
        <v>1</v>
      </c>
      <c r="T39" s="893">
        <f>$S39-SUMIF('11.2. Нови активи отч.год.'!$B$61:$B$108,$B39,'11.2. Нови активи отч.год.'!$S$61:$S$108)+SUMIF('11.2. Нови активи отч.год.'!$B$61:$B$108,$B39,'11.2. Нови активи отч.год.'!T$61:T$108)+SUMIF('11.1.Амортиз.нови активи'!$B$60:$B$107,$B39,'11.1.Амортиз.нови активи'!T$60:T$107)+('11.1.Амортиз.нови активи'!F$111*SUMIF('11.1.Амортиз.нови активи'!$B$60:$B$107,$B39,'11.1.Амортиз.нови активи'!AA$60:AA$107))</f>
        <v>1.4</v>
      </c>
      <c r="U39" s="894">
        <f>$S39-SUMIF('11.2. Нови активи отч.год.'!$B$61:$B$108,$B39,'11.2. Нови активи отч.год.'!$S$61:$S$108)+SUMIF('11.2. Нови активи отч.год.'!$B$61:$B$108,$B39,'11.2. Нови активи отч.год.'!U$61:U$108)+SUMIF('11.1.Амортиз.нови активи'!$B$60:$B$107,$B39,'11.1.Амортиз.нови активи'!U$60:U$107)+('11.1.Амортиз.нови активи'!G$111*SUMIF('11.1.Амортиз.нови активи'!$B$60:$B$107,$B39,'11.1.Амортиз.нови активи'!AB$60:AB$107))</f>
        <v>1.4</v>
      </c>
      <c r="V39" s="894">
        <f>$S39-SUMIF('11.2. Нови активи отч.год.'!$B$61:$B$108,$B39,'11.2. Нови активи отч.год.'!$S$61:$S$108)+SUMIF('11.2. Нови активи отч.год.'!$B$61:$B$108,$B39,'11.2. Нови активи отч.год.'!V$61:V$108)+SUMIF('11.1.Амортиз.нови активи'!$B$60:$B$107,$B39,'11.1.Амортиз.нови активи'!V$60:V$107)+('11.1.Амортиз.нови активи'!H$111*SUMIF('11.1.Амортиз.нови активи'!$B$60:$B$107,$B39,'11.1.Амортиз.нови активи'!AC$60:AC$107))</f>
        <v>0.4</v>
      </c>
      <c r="W39" s="894">
        <f>$S39-SUMIF('11.2. Нови активи отч.год.'!$B$61:$B$108,$B39,'11.2. Нови активи отч.год.'!$S$61:$S$108)+SUMIF('11.2. Нови активи отч.год.'!$B$61:$B$108,$B39,'11.2. Нови активи отч.год.'!W$61:W$108)+SUMIF('11.1.Амортиз.нови активи'!$B$60:$B$107,$B39,'11.1.Амортиз.нови активи'!W$60:W$107)+('11.1.Амортиз.нови активи'!I$111*SUMIF('11.1.Амортиз.нови активи'!$B$60:$B$107,$B39,'11.1.Амортиз.нови активи'!AD$60:AD$107))</f>
        <v>-0.60000000000000009</v>
      </c>
      <c r="X39" s="894">
        <f>$S39-SUMIF('11.2. Нови активи отч.год.'!$B$61:$B$108,$B39,'11.2. Нови активи отч.год.'!$S$61:$S$108)+SUMIF('11.2. Нови активи отч.год.'!$B$61:$B$108,$B39,'11.2. Нови активи отч.год.'!X$61:X$108)+SUMIF('11.1.Амортиз.нови активи'!$B$60:$B$107,$B39,'11.1.Амортиз.нови активи'!X$60:X$107)+('11.1.Амортиз.нови активи'!J$111*SUMIF('11.1.Амортиз.нови активи'!$B$60:$B$107,$B39,'11.1.Амортиз.нови активи'!AE$60:AE$107))</f>
        <v>-0.60000000000000009</v>
      </c>
      <c r="Y39" s="895">
        <f>$S39-SUMIF('11.2. Нови активи отч.год.'!$B$61:$B$108,$B39,'11.2. Нови активи отч.год.'!$S$61:$S$108)+SUMIF('11.2. Нови активи отч.год.'!$B$61:$B$108,$B39,'11.2. Нови активи отч.год.'!Y$61:Y$108)+SUMIF('11.1.Амортиз.нови активи'!$B$60:$B$107,$B39,'11.1.Амортиз.нови активи'!Y$60:Y$107)+('11.1.Амортиз.нови активи'!K$111*SUMIF('11.1.Амортиз.нови активи'!$B$60:$B$107,$B39,'11.1.Амортиз.нови активи'!AF$60:AF$107))</f>
        <v>-0.60000000000000009</v>
      </c>
      <c r="Z39" s="1672"/>
      <c r="AA39" s="1702"/>
      <c r="AB39" s="1642"/>
    </row>
    <row r="40" spans="1:28">
      <c r="A40" s="1674"/>
      <c r="B40" s="1700">
        <v>20303</v>
      </c>
      <c r="C40" s="1671">
        <v>0.1</v>
      </c>
      <c r="D40" s="1625" t="s">
        <v>578</v>
      </c>
      <c r="E40" s="2246">
        <v>216</v>
      </c>
      <c r="F40" s="893">
        <f>$E40-SUMIF('11.2. Нови активи отч.год.'!$B$61:$B$108,$B40,'11.2. Нови активи отч.год.'!$E$61:$E$108)+SUMIF('11.2. Нови активи отч.год.'!$B$61:$B$108,$B40,'11.2. Нови активи отч.год.'!F$61:F$108)+SUMIF('11.1.Амортиз.нови активи'!$B$60:$B$107,$B40,'11.1.Амортиз.нови активи'!F$60:F$107)+('11.1.Амортиз.нови активи'!F$109*SUMIF('11.1.Амортиз.нови активи'!$B$60:$B$107,$B40,'11.1.Амортиз.нови активи'!AA$60:AA$107))</f>
        <v>226.45000000000002</v>
      </c>
      <c r="G40" s="894">
        <f>$E40-SUMIF('11.2. Нови активи отч.год.'!$B$61:$B$108,$B40,'11.2. Нови активи отч.год.'!$E$61:$E$108)+SUMIF('11.2. Нови активи отч.год.'!$B$61:$B$108,$B40,'11.2. Нови активи отч.год.'!G$61:G$108)+SUMIF('11.1.Амортиз.нови активи'!$B$60:$B$107,$B40,'11.1.Амортиз.нови активи'!G$60:G$107)+('11.1.Амортиз.нови активи'!G$109*SUMIF('11.1.Амортиз.нови активи'!$B$60:$B$107,$B40,'11.1.Амортиз.нови активи'!AB$60:AB$107))</f>
        <v>237.70000000000002</v>
      </c>
      <c r="H40" s="894">
        <f>$E40-SUMIF('11.2. Нови активи отч.год.'!$B$61:$B$108,$B40,'11.2. Нови активи отч.год.'!$E$61:$E$108)+SUMIF('11.2. Нови активи отч.год.'!$B$61:$B$108,$B40,'11.2. Нови активи отч.год.'!H$61:H$108)+SUMIF('11.1.Амортиз.нови активи'!$B$60:$B$107,$B40,'11.1.Амортиз.нови активи'!H$60:H$107)+('11.1.Амортиз.нови активи'!H$109*SUMIF('11.1.Амортиз.нови активи'!$B$60:$B$107,$B40,'11.1.Амортиз.нови активи'!AC$60:AC$107))</f>
        <v>239.70000000000002</v>
      </c>
      <c r="I40" s="894">
        <f>$E40-SUMIF('11.2. Нови активи отч.год.'!$B$61:$B$108,$B40,'11.2. Нови активи отч.год.'!$E$61:$E$108)+SUMIF('11.2. Нови активи отч.год.'!$B$61:$B$108,$B40,'11.2. Нови активи отч.год.'!I$61:I$108)+SUMIF('11.1.Амортиз.нови активи'!$B$60:$B$107,$B40,'11.1.Амортиз.нови активи'!I$60:I$107)+('11.1.Амортиз.нови активи'!I$109*SUMIF('11.1.Амортиз.нови активи'!$B$60:$B$107,$B40,'11.1.Амортиз.нови активи'!AD$60:AD$107))</f>
        <v>241.70000000000002</v>
      </c>
      <c r="J40" s="894">
        <f>$E40-SUMIF('11.2. Нови активи отч.год.'!$B$61:$B$108,$B40,'11.2. Нови активи отч.год.'!$E$61:$E$108)+SUMIF('11.2. Нови активи отч.год.'!$B$61:$B$108,$B40,'11.2. Нови активи отч.год.'!J$61:J$108)+SUMIF('11.1.Амортиз.нови активи'!$B$60:$B$107,$B40,'11.1.Амортиз.нови активи'!J$60:J$107)+('11.1.Амортиз.нови активи'!J$109*SUMIF('11.1.Амортиз.нови активи'!$B$60:$B$107,$B40,'11.1.Амортиз.нови активи'!AE$60:AE$107))</f>
        <v>243.70000000000002</v>
      </c>
      <c r="K40" s="895">
        <f>$E40-SUMIF('11.2. Нови активи отч.год.'!$B$61:$B$108,$B40,'11.2. Нови активи отч.год.'!$E$61:$E$108)+SUMIF('11.2. Нови активи отч.год.'!$B$61:$B$108,$B40,'11.2. Нови активи отч.год.'!K$61:K$108)+SUMIF('11.1.Амортиз.нови активи'!$B$60:$B$107,$B40,'11.1.Амортиз.нови активи'!K$60:K$107)+('11.1.Амортиз.нови активи'!K$109*SUMIF('11.1.Амортиз.нови активи'!$B$60:$B$107,$B40,'11.1.Амортиз.нови активи'!AF$60:AF$107))</f>
        <v>245.70000000000002</v>
      </c>
      <c r="L40" s="2246">
        <v>5</v>
      </c>
      <c r="M40" s="893">
        <f>$L40-SUMIF('11.2. Нови активи отч.год.'!$B$61:$B$108,$B40,'11.2. Нови активи отч.год.'!$L$61:$L$108)+SUMIF('11.2. Нови активи отч.год.'!$B$61:$B$108,$B40,'11.2. Нови активи отч.год.'!M$61:M$108)+SUMIF('11.1.Амортиз.нови активи'!$B$60:$B$107,$B40,'11.1.Амортиз.нови активи'!M$60:M$107)+('11.1.Амортиз.нови активи'!F$110*SUMIF('11.1.Амортиз.нови активи'!$B$60:$B$107,$B40,'11.1.Амортиз.нови активи'!AA$60:AA$107))</f>
        <v>5</v>
      </c>
      <c r="N40" s="894">
        <f>$L40-SUMIF('11.2. Нови активи отч.год.'!$B$61:$B$108,$B40,'11.2. Нови активи отч.год.'!$L$61:$L$108)+SUMIF('11.2. Нови активи отч.год.'!$B$61:$B$108,$B40,'11.2. Нови активи отч.год.'!N$61:N$108)+SUMIF('11.1.Амортиз.нови активи'!$B$60:$B$107,$B40,'11.1.Амортиз.нови активи'!N$60:N$107)+('11.1.Амортиз.нови активи'!G$110*SUMIF('11.1.Амортиз.нови активи'!$B$60:$B$107,$B40,'11.1.Амортиз.нови активи'!AB$60:AB$107))</f>
        <v>16</v>
      </c>
      <c r="O40" s="894">
        <f>$L40-SUMIF('11.2. Нови активи отч.год.'!$B$61:$B$108,$B40,'11.2. Нови активи отч.год.'!$L$61:$L$108)+SUMIF('11.2. Нови активи отч.год.'!$B$61:$B$108,$B40,'11.2. Нови активи отч.год.'!O$61:O$108)+SUMIF('11.1.Амортиз.нови активи'!$B$60:$B$107,$B40,'11.1.Амортиз.нови активи'!O$60:O$107)+('11.1.Амортиз.нови активи'!H$110*SUMIF('11.1.Амортиз.нови активи'!$B$60:$B$107,$B40,'11.1.Амортиз.нови активи'!AC$60:AC$107))</f>
        <v>27</v>
      </c>
      <c r="P40" s="894">
        <f>$L40-SUMIF('11.2. Нови активи отч.год.'!$B$61:$B$108,$B40,'11.2. Нови активи отч.год.'!$L$61:$L$108)+SUMIF('11.2. Нови активи отч.год.'!$B$61:$B$108,$B40,'11.2. Нови активи отч.год.'!P$61:P$108)+SUMIF('11.1.Амортиз.нови активи'!$B$60:$B$107,$B40,'11.1.Амортиз.нови активи'!P$60:P$107)+('11.1.Амортиз.нови активи'!I$110*SUMIF('11.1.Амортиз.нови активи'!$B$60:$B$107,$B40,'11.1.Амортиз.нови активи'!AD$60:AD$107))</f>
        <v>25</v>
      </c>
      <c r="Q40" s="894">
        <f>$L40-SUMIF('11.2. Нови активи отч.год.'!$B$61:$B$108,$B40,'11.2. Нови активи отч.год.'!$L$61:$L$108)+SUMIF('11.2. Нови активи отч.год.'!$B$61:$B$108,$B40,'11.2. Нови активи отч.год.'!Q$61:Q$108)+SUMIF('11.1.Амортиз.нови активи'!$B$60:$B$107,$B40,'11.1.Амортиз.нови активи'!Q$60:Q$107)+('11.1.Амортиз.нови активи'!J$110*SUMIF('11.1.Амортиз.нови активи'!$B$60:$B$107,$B40,'11.1.Амортиз.нови активи'!AE$60:AE$107))</f>
        <v>22</v>
      </c>
      <c r="R40" s="895">
        <f>$L40-SUMIF('11.2. Нови активи отч.год.'!$B$61:$B$108,$B40,'11.2. Нови активи отч.год.'!$L$61:$L$108)+SUMIF('11.2. Нови активи отч.год.'!$B$61:$B$108,$B40,'11.2. Нови активи отч.год.'!R$61:R$108)+SUMIF('11.1.Амортиз.нови активи'!$B$60:$B$107,$B40,'11.1.Амортиз.нови активи'!R$60:R$107)+('11.1.Амортиз.нови активи'!K$110*SUMIF('11.1.Амортиз.нови активи'!$B$60:$B$107,$B40,'11.1.Амортиз.нови активи'!AF$60:AF$107))</f>
        <v>22</v>
      </c>
      <c r="S40" s="2246">
        <v>11</v>
      </c>
      <c r="T40" s="893">
        <f>$S40-SUMIF('11.2. Нови активи отч.год.'!$B$61:$B$108,$B40,'11.2. Нови активи отч.год.'!$S$61:$S$108)+SUMIF('11.2. Нови активи отч.год.'!$B$61:$B$108,$B40,'11.2. Нови активи отч.год.'!T$61:T$108)+SUMIF('11.1.Амортиз.нови активи'!$B$60:$B$107,$B40,'11.1.Амортиз.нови активи'!T$60:T$107)+('11.1.Амортиз.нови активи'!F$111*SUMIF('11.1.Амортиз.нови активи'!$B$60:$B$107,$B40,'11.1.Амортиз.нови активи'!AA$60:AA$107))</f>
        <v>12</v>
      </c>
      <c r="U40" s="894">
        <f>$S40-SUMIF('11.2. Нови активи отч.год.'!$B$61:$B$108,$B40,'11.2. Нови активи отч.год.'!$S$61:$S$108)+SUMIF('11.2. Нови активи отч.год.'!$B$61:$B$108,$B40,'11.2. Нови активи отч.год.'!U$61:U$108)+SUMIF('11.1.Амортиз.нови активи'!$B$60:$B$107,$B40,'11.1.Амортиз.нови активи'!U$60:U$107)+('11.1.Амортиз.нови активи'!G$111*SUMIF('11.1.Амортиз.нови активи'!$B$60:$B$107,$B40,'11.1.Амортиз.нови активи'!AB$60:AB$107))</f>
        <v>13.5</v>
      </c>
      <c r="V40" s="894">
        <f>$S40-SUMIF('11.2. Нови активи отч.год.'!$B$61:$B$108,$B40,'11.2. Нови активи отч.год.'!$S$61:$S$108)+SUMIF('11.2. Нови активи отч.год.'!$B$61:$B$108,$B40,'11.2. Нови активи отч.год.'!V$61:V$108)+SUMIF('11.1.Амортиз.нови активи'!$B$60:$B$107,$B40,'11.1.Амортиз.нови активи'!V$60:V$107)+('11.1.Амортиз.нови активи'!H$111*SUMIF('11.1.Амортиз.нови активи'!$B$60:$B$107,$B40,'11.1.Амортиз.нови активи'!AC$60:AC$107))</f>
        <v>21.5</v>
      </c>
      <c r="W40" s="894">
        <f>$S40-SUMIF('11.2. Нови активи отч.год.'!$B$61:$B$108,$B40,'11.2. Нови активи отч.год.'!$S$61:$S$108)+SUMIF('11.2. Нови активи отч.год.'!$B$61:$B$108,$B40,'11.2. Нови активи отч.год.'!W$61:W$108)+SUMIF('11.1.Амортиз.нови активи'!$B$60:$B$107,$B40,'11.1.Амортиз.нови активи'!W$60:W$107)+('11.1.Амортиз.нови активи'!I$111*SUMIF('11.1.Амортиз.нови активи'!$B$60:$B$107,$B40,'11.1.Амортиз.нови активи'!AD$60:AD$107))</f>
        <v>29.5</v>
      </c>
      <c r="X40" s="894">
        <f>$S40-SUMIF('11.2. Нови активи отч.год.'!$B$61:$B$108,$B40,'11.2. Нови активи отч.год.'!$S$61:$S$108)+SUMIF('11.2. Нови активи отч.год.'!$B$61:$B$108,$B40,'11.2. Нови активи отч.год.'!X$61:X$108)+SUMIF('11.1.Амортиз.нови активи'!$B$60:$B$107,$B40,'11.1.Амортиз.нови активи'!X$60:X$107)+('11.1.Амортиз.нови активи'!J$111*SUMIF('11.1.Амортиз.нови активи'!$B$60:$B$107,$B40,'11.1.Амортиз.нови активи'!AE$60:AE$107))</f>
        <v>30.5</v>
      </c>
      <c r="Y40" s="895">
        <f>$S40-SUMIF('11.2. Нови активи отч.год.'!$B$61:$B$108,$B40,'11.2. Нови активи отч.год.'!$S$61:$S$108)+SUMIF('11.2. Нови активи отч.год.'!$B$61:$B$108,$B40,'11.2. Нови активи отч.год.'!Y$61:Y$108)+SUMIF('11.1.Амортиз.нови активи'!$B$60:$B$107,$B40,'11.1.Амортиз.нови активи'!Y$60:Y$107)+('11.1.Амортиз.нови активи'!K$111*SUMIF('11.1.Амортиз.нови активи'!$B$60:$B$107,$B40,'11.1.Амортиз.нови активи'!AF$60:AF$107))</f>
        <v>31.5</v>
      </c>
      <c r="Z40" s="1672"/>
      <c r="AA40" s="1702"/>
      <c r="AB40" s="1642"/>
    </row>
    <row r="41" spans="1:28">
      <c r="A41" s="1674"/>
      <c r="B41" s="1700">
        <v>20306</v>
      </c>
      <c r="C41" s="1671">
        <v>0.1</v>
      </c>
      <c r="D41" s="1625" t="s">
        <v>581</v>
      </c>
      <c r="E41" s="2246">
        <v>74</v>
      </c>
      <c r="F41" s="893">
        <f>$E41-SUMIF('11.2. Нови активи отч.год.'!$B$61:$B$108,$B41,'11.2. Нови активи отч.год.'!$E$61:$E$108)+SUMIF('11.2. Нови активи отч.год.'!$B$61:$B$108,$B41,'11.2. Нови активи отч.год.'!F$61:F$108)+SUMIF('11.1.Амортиз.нови активи'!$B$60:$B$107,$B41,'11.1.Амортиз.нови активи'!F$60:F$107)+('11.1.Амортиз.нови активи'!F$109*SUMIF('11.1.Амортиз.нови активи'!$B$60:$B$107,$B41,'11.1.Амортиз.нови активи'!AA$60:AA$107))</f>
        <v>99.300000000000011</v>
      </c>
      <c r="G41" s="894">
        <f>$E41-SUMIF('11.2. Нови активи отч.год.'!$B$61:$B$108,$B41,'11.2. Нови активи отч.год.'!$E$61:$E$108)+SUMIF('11.2. Нови активи отч.год.'!$B$61:$B$108,$B41,'11.2. Нови активи отч.год.'!G$61:G$108)+SUMIF('11.1.Амортиз.нови активи'!$B$60:$B$107,$B41,'11.1.Амортиз.нови активи'!G$60:G$107)+('11.1.Амортиз.нови активи'!G$109*SUMIF('11.1.Амортиз.нови активи'!$B$60:$B$107,$B41,'11.1.Амортиз.нови активи'!AB$60:AB$107))</f>
        <v>126.15</v>
      </c>
      <c r="H41" s="894">
        <f>$E41-SUMIF('11.2. Нови активи отч.год.'!$B$61:$B$108,$B41,'11.2. Нови активи отч.год.'!$E$61:$E$108)+SUMIF('11.2. Нови активи отч.год.'!$B$61:$B$108,$B41,'11.2. Нови активи отч.год.'!H$61:H$108)+SUMIF('11.1.Амортиз.нови активи'!$B$60:$B$107,$B41,'11.1.Амортиз.нови активи'!H$60:H$107)+('11.1.Амортиз.нови активи'!H$109*SUMIF('11.1.Амортиз.нови активи'!$B$60:$B$107,$B41,'11.1.Амортиз.нови активи'!AC$60:AC$107))</f>
        <v>128.05000000000001</v>
      </c>
      <c r="I41" s="894">
        <f>$E41-SUMIF('11.2. Нови активи отч.год.'!$B$61:$B$108,$B41,'11.2. Нови активи отч.год.'!$E$61:$E$108)+SUMIF('11.2. Нови активи отч.год.'!$B$61:$B$108,$B41,'11.2. Нови активи отч.год.'!I$61:I$108)+SUMIF('11.1.Амортиз.нови активи'!$B$60:$B$107,$B41,'11.1.Амортиз.нови активи'!I$60:I$107)+('11.1.Амортиз.нови активи'!I$109*SUMIF('11.1.Амортиз.нови активи'!$B$60:$B$107,$B41,'11.1.Амортиз.нови активи'!AD$60:AD$107))</f>
        <v>129.95000000000002</v>
      </c>
      <c r="J41" s="894">
        <f>$E41-SUMIF('11.2. Нови активи отч.год.'!$B$61:$B$108,$B41,'11.2. Нови активи отч.год.'!$E$61:$E$108)+SUMIF('11.2. Нови активи отч.год.'!$B$61:$B$108,$B41,'11.2. Нови активи отч.год.'!J$61:J$108)+SUMIF('11.1.Амортиз.нови активи'!$B$60:$B$107,$B41,'11.1.Амортиз.нови активи'!J$60:J$107)+('11.1.Амортиз.нови активи'!J$109*SUMIF('11.1.Амортиз.нови активи'!$B$60:$B$107,$B41,'11.1.Амортиз.нови активи'!AE$60:AE$107))</f>
        <v>131.85000000000002</v>
      </c>
      <c r="K41" s="895">
        <f>$E41-SUMIF('11.2. Нови активи отч.год.'!$B$61:$B$108,$B41,'11.2. Нови активи отч.год.'!$E$61:$E$108)+SUMIF('11.2. Нови активи отч.год.'!$B$61:$B$108,$B41,'11.2. Нови активи отч.год.'!K$61:K$108)+SUMIF('11.1.Амортиз.нови активи'!$B$60:$B$107,$B41,'11.1.Амортиз.нови активи'!K$60:K$107)+('11.1.Амортиз.нови активи'!K$109*SUMIF('11.1.Амортиз.нови активи'!$B$60:$B$107,$B41,'11.1.Амортиз.нови активи'!AF$60:AF$107))</f>
        <v>133.75</v>
      </c>
      <c r="L41" s="2246">
        <v>0</v>
      </c>
      <c r="M41" s="893">
        <f>$L41-SUMIF('11.2. Нови активи отч.год.'!$B$61:$B$108,$B41,'11.2. Нови активи отч.год.'!$L$61:$L$108)+SUMIF('11.2. Нови активи отч.год.'!$B$61:$B$108,$B41,'11.2. Нови активи отч.год.'!M$61:M$108)+SUMIF('11.1.Амортиз.нови активи'!$B$60:$B$107,$B41,'11.1.Амортиз.нови активи'!M$60:M$107)+('11.1.Амортиз.нови активи'!F$110*SUMIF('11.1.Амортиз.нови активи'!$B$60:$B$107,$B41,'11.1.Амортиз.нови активи'!AA$60:AA$107))</f>
        <v>0</v>
      </c>
      <c r="N41" s="894">
        <f>$L41-SUMIF('11.2. Нови активи отч.год.'!$B$61:$B$108,$B41,'11.2. Нови активи отч.год.'!$L$61:$L$108)+SUMIF('11.2. Нови активи отч.год.'!$B$61:$B$108,$B41,'11.2. Нови активи отч.год.'!N$61:N$108)+SUMIF('11.1.Амортиз.нови активи'!$B$60:$B$107,$B41,'11.1.Амортиз.нови активи'!N$60:N$107)+('11.1.Амортиз.нови активи'!G$110*SUMIF('11.1.Амортиз.нови активи'!$B$60:$B$107,$B41,'11.1.Амортиз.нови активи'!AB$60:AB$107))</f>
        <v>0</v>
      </c>
      <c r="O41" s="894">
        <f>$L41-SUMIF('11.2. Нови активи отч.год.'!$B$61:$B$108,$B41,'11.2. Нови активи отч.год.'!$L$61:$L$108)+SUMIF('11.2. Нови активи отч.год.'!$B$61:$B$108,$B41,'11.2. Нови активи отч.год.'!O$61:O$108)+SUMIF('11.1.Амортиз.нови активи'!$B$60:$B$107,$B41,'11.1.Амортиз.нови активи'!O$60:O$107)+('11.1.Амортиз.нови активи'!H$110*SUMIF('11.1.Амортиз.нови активи'!$B$60:$B$107,$B41,'11.1.Амортиз.нови активи'!AC$60:AC$107))</f>
        <v>0</v>
      </c>
      <c r="P41" s="894">
        <f>$L41-SUMIF('11.2. Нови активи отч.год.'!$B$61:$B$108,$B41,'11.2. Нови активи отч.год.'!$L$61:$L$108)+SUMIF('11.2. Нови активи отч.год.'!$B$61:$B$108,$B41,'11.2. Нови активи отч.год.'!P$61:P$108)+SUMIF('11.1.Амортиз.нови активи'!$B$60:$B$107,$B41,'11.1.Амортиз.нови активи'!P$60:P$107)+('11.1.Амортиз.нови активи'!I$110*SUMIF('11.1.Амортиз.нови активи'!$B$60:$B$107,$B41,'11.1.Амортиз.нови активи'!AD$60:AD$107))</f>
        <v>0</v>
      </c>
      <c r="Q41" s="894">
        <f>$L41-SUMIF('11.2. Нови активи отч.год.'!$B$61:$B$108,$B41,'11.2. Нови активи отч.год.'!$L$61:$L$108)+SUMIF('11.2. Нови активи отч.год.'!$B$61:$B$108,$B41,'11.2. Нови активи отч.год.'!Q$61:Q$108)+SUMIF('11.1.Амортиз.нови активи'!$B$60:$B$107,$B41,'11.1.Амортиз.нови активи'!Q$60:Q$107)+('11.1.Амортиз.нови активи'!J$110*SUMIF('11.1.Амортиз.нови активи'!$B$60:$B$107,$B41,'11.1.Амортиз.нови активи'!AE$60:AE$107))</f>
        <v>0</v>
      </c>
      <c r="R41" s="895">
        <f>$L41-SUMIF('11.2. Нови активи отч.год.'!$B$61:$B$108,$B41,'11.2. Нови активи отч.год.'!$L$61:$L$108)+SUMIF('11.2. Нови активи отч.год.'!$B$61:$B$108,$B41,'11.2. Нови активи отч.год.'!R$61:R$108)+SUMIF('11.1.Амортиз.нови активи'!$B$60:$B$107,$B41,'11.1.Амортиз.нови активи'!R$60:R$107)+('11.1.Амортиз.нови активи'!K$110*SUMIF('11.1.Амортиз.нови активи'!$B$60:$B$107,$B41,'11.1.Амортиз.нови активи'!AF$60:AF$107))</f>
        <v>0</v>
      </c>
      <c r="S41" s="2246">
        <v>1</v>
      </c>
      <c r="T41" s="893">
        <f>$S41-SUMIF('11.2. Нови активи отч.год.'!$B$61:$B$108,$B41,'11.2. Нови активи отч.год.'!$S$61:$S$108)+SUMIF('11.2. Нови активи отч.год.'!$B$61:$B$108,$B41,'11.2. Нови активи отч.год.'!T$61:T$108)+SUMIF('11.1.Амортиз.нови активи'!$B$60:$B$107,$B41,'11.1.Амортиз.нови активи'!T$60:T$107)+('11.1.Амортиз.нови активи'!F$111*SUMIF('11.1.Амортиз.нови активи'!$B$60:$B$107,$B41,'11.1.Амортиз.нови активи'!AA$60:AA$107))</f>
        <v>6.1000000000000005</v>
      </c>
      <c r="U41" s="894">
        <f>$S41-SUMIF('11.2. Нови активи отч.год.'!$B$61:$B$108,$B41,'11.2. Нови активи отч.год.'!$S$61:$S$108)+SUMIF('11.2. Нови активи отч.год.'!$B$61:$B$108,$B41,'11.2. Нови активи отч.год.'!U$61:U$108)+SUMIF('11.1.Амортиз.нови активи'!$B$60:$B$107,$B41,'11.1.Амортиз.нови активи'!U$60:U$107)+('11.1.Амортиз.нови активи'!G$111*SUMIF('11.1.Амортиз.нови активи'!$B$60:$B$107,$B41,'11.1.Амортиз.нови активи'!AB$60:AB$107))</f>
        <v>7.1000000000000005</v>
      </c>
      <c r="V41" s="894">
        <f>$S41-SUMIF('11.2. Нови активи отч.год.'!$B$61:$B$108,$B41,'11.2. Нови активи отч.год.'!$S$61:$S$108)+SUMIF('11.2. Нови активи отч.год.'!$B$61:$B$108,$B41,'11.2. Нови активи отч.год.'!V$61:V$108)+SUMIF('11.1.Амортиз.нови активи'!$B$60:$B$107,$B41,'11.1.Амортиз.нови активи'!V$60:V$107)+('11.1.Амортиз.нови активи'!H$111*SUMIF('11.1.Амортиз.нови активи'!$B$60:$B$107,$B41,'11.1.Амортиз.нови активи'!AC$60:AC$107))</f>
        <v>8.1000000000000014</v>
      </c>
      <c r="W41" s="894">
        <f>$S41-SUMIF('11.2. Нови активи отч.год.'!$B$61:$B$108,$B41,'11.2. Нови активи отч.год.'!$S$61:$S$108)+SUMIF('11.2. Нови активи отч.год.'!$B$61:$B$108,$B41,'11.2. Нови активи отч.год.'!W$61:W$108)+SUMIF('11.1.Амортиз.нови активи'!$B$60:$B$107,$B41,'11.1.Амортиз.нови активи'!W$60:W$107)+('11.1.Амортиз.нови активи'!I$111*SUMIF('11.1.Амортиз.нови активи'!$B$60:$B$107,$B41,'11.1.Амортиз.нови активи'!AD$60:AD$107))</f>
        <v>8.1000000000000014</v>
      </c>
      <c r="X41" s="894">
        <f>$S41-SUMIF('11.2. Нови активи отч.год.'!$B$61:$B$108,$B41,'11.2. Нови активи отч.год.'!$S$61:$S$108)+SUMIF('11.2. Нови активи отч.год.'!$B$61:$B$108,$B41,'11.2. Нови активи отч.год.'!X$61:X$108)+SUMIF('11.1.Амортиз.нови активи'!$B$60:$B$107,$B41,'11.1.Амортиз.нови активи'!X$60:X$107)+('11.1.Амортиз.нови активи'!J$111*SUMIF('11.1.Амортиз.нови активи'!$B$60:$B$107,$B41,'11.1.Амортиз.нови активи'!AE$60:AE$107))</f>
        <v>3.1000000000000005</v>
      </c>
      <c r="Y41" s="895">
        <f>$S41-SUMIF('11.2. Нови активи отч.год.'!$B$61:$B$108,$B41,'11.2. Нови активи отч.год.'!$S$61:$S$108)+SUMIF('11.2. Нови активи отч.год.'!$B$61:$B$108,$B41,'11.2. Нови активи отч.год.'!Y$61:Y$108)+SUMIF('11.1.Амортиз.нови активи'!$B$60:$B$107,$B41,'11.1.Амортиз.нови активи'!Y$60:Y$107)+('11.1.Амортиз.нови активи'!K$111*SUMIF('11.1.Амортиз.нови активи'!$B$60:$B$107,$B41,'11.1.Амортиз.нови активи'!AF$60:AF$107))</f>
        <v>4.1000000000000005</v>
      </c>
      <c r="Z41" s="1672"/>
      <c r="AA41" s="1703"/>
    </row>
    <row r="42" spans="1:28">
      <c r="A42" s="1674">
        <v>4</v>
      </c>
      <c r="B42" s="1675">
        <v>20403</v>
      </c>
      <c r="C42" s="1680">
        <v>0.04</v>
      </c>
      <c r="D42" s="1626" t="s">
        <v>606</v>
      </c>
      <c r="E42" s="2246">
        <v>12</v>
      </c>
      <c r="F42" s="893">
        <f>$E42-SUMIF('11.2. Нови активи отч.год.'!$B$61:$B$108,$B42,'11.2. Нови активи отч.год.'!$E$61:$E$108)+SUMIF('11.2. Нови активи отч.год.'!$B$61:$B$108,$B42,'11.2. Нови активи отч.год.'!F$61:F$108)+SUMIF('11.1.Амортиз.нови активи'!$B$60:$B$107,$B42,'11.1.Амортиз.нови активи'!F$60:F$107)+('11.1.Амортиз.нови активи'!F$109*SUMIF('11.1.Амортиз.нови активи'!$B$60:$B$107,$B42,'11.1.Амортиз.нови активи'!AA$60:AA$107))</f>
        <v>14.879999999999999</v>
      </c>
      <c r="G42" s="894">
        <f>$E42-SUMIF('11.2. Нови активи отч.год.'!$B$61:$B$108,$B42,'11.2. Нови активи отч.год.'!$E$61:$E$108)+SUMIF('11.2. Нови активи отч.год.'!$B$61:$B$108,$B42,'11.2. Нови активи отч.год.'!G$61:G$108)+SUMIF('11.1.Амортиз.нови активи'!$B$60:$B$107,$B42,'11.1.Амортиз.нови активи'!G$60:G$107)+('11.1.Амортиз.нови активи'!G$109*SUMIF('11.1.Амортиз.нови активи'!$B$60:$B$107,$B42,'11.1.Амортиз.нови активи'!AB$60:AB$107))</f>
        <v>14.879999999999999</v>
      </c>
      <c r="H42" s="894">
        <f>$E42-SUMIF('11.2. Нови активи отч.год.'!$B$61:$B$108,$B42,'11.2. Нови активи отч.год.'!$E$61:$E$108)+SUMIF('11.2. Нови активи отч.год.'!$B$61:$B$108,$B42,'11.2. Нови активи отч.год.'!H$61:H$108)+SUMIF('11.1.Амортиз.нови активи'!$B$60:$B$107,$B42,'11.1.Амортиз.нови активи'!H$60:H$107)+('11.1.Амортиз.нови активи'!H$109*SUMIF('11.1.Амортиз.нови активи'!$B$60:$B$107,$B42,'11.1.Амортиз.нови активи'!AC$60:AC$107))</f>
        <v>14.879999999999999</v>
      </c>
      <c r="I42" s="894">
        <f>$E42-SUMIF('11.2. Нови активи отч.год.'!$B$61:$B$108,$B42,'11.2. Нови активи отч.год.'!$E$61:$E$108)+SUMIF('11.2. Нови активи отч.год.'!$B$61:$B$108,$B42,'11.2. Нови активи отч.год.'!I$61:I$108)+SUMIF('11.1.Амортиз.нови активи'!$B$60:$B$107,$B42,'11.1.Амортиз.нови активи'!I$60:I$107)+('11.1.Амортиз.нови активи'!I$109*SUMIF('11.1.Амортиз.нови активи'!$B$60:$B$107,$B42,'11.1.Амортиз.нови активи'!AD$60:AD$107))</f>
        <v>14.879999999999999</v>
      </c>
      <c r="J42" s="894">
        <f>$E42-SUMIF('11.2. Нови активи отч.год.'!$B$61:$B$108,$B42,'11.2. Нови активи отч.год.'!$E$61:$E$108)+SUMIF('11.2. Нови активи отч.год.'!$B$61:$B$108,$B42,'11.2. Нови активи отч.год.'!J$61:J$108)+SUMIF('11.1.Амортиз.нови активи'!$B$60:$B$107,$B42,'11.1.Амортиз.нови активи'!J$60:J$107)+('11.1.Амортиз.нови активи'!J$109*SUMIF('11.1.Амортиз.нови активи'!$B$60:$B$107,$B42,'11.1.Амортиз.нови активи'!AE$60:AE$107))</f>
        <v>14.879999999999999</v>
      </c>
      <c r="K42" s="895">
        <f>$E42-SUMIF('11.2. Нови активи отч.год.'!$B$61:$B$108,$B42,'11.2. Нови активи отч.год.'!$E$61:$E$108)+SUMIF('11.2. Нови активи отч.год.'!$B$61:$B$108,$B42,'11.2. Нови активи отч.год.'!K$61:K$108)+SUMIF('11.1.Амортиз.нови активи'!$B$60:$B$107,$B42,'11.1.Амортиз.нови активи'!K$60:K$107)+('11.1.Амортиз.нови активи'!K$109*SUMIF('11.1.Амортиз.нови активи'!$B$60:$B$107,$B42,'11.1.Амортиз.нови активи'!AF$60:AF$107))</f>
        <v>14.879999999999999</v>
      </c>
      <c r="L42" s="2246">
        <v>0</v>
      </c>
      <c r="M42" s="893">
        <f>$L42-SUMIF('11.2. Нови активи отч.год.'!$B$61:$B$108,$B42,'11.2. Нови активи отч.год.'!$L$61:$L$108)+SUMIF('11.2. Нови активи отч.год.'!$B$61:$B$108,$B42,'11.2. Нови активи отч.год.'!M$61:M$108)+SUMIF('11.1.Амортиз.нови активи'!$B$60:$B$107,$B42,'11.1.Амортиз.нови активи'!M$60:M$107)+('11.1.Амортиз.нови активи'!F$110*SUMIF('11.1.Амортиз.нови активи'!$B$60:$B$107,$B42,'11.1.Амортиз.нови активи'!AA$60:AA$107))</f>
        <v>0.08</v>
      </c>
      <c r="N42" s="894">
        <f>$L42-SUMIF('11.2. Нови активи отч.год.'!$B$61:$B$108,$B42,'11.2. Нови активи отч.год.'!$L$61:$L$108)+SUMIF('11.2. Нови активи отч.год.'!$B$61:$B$108,$B42,'11.2. Нови активи отч.год.'!N$61:N$108)+SUMIF('11.1.Амортиз.нови активи'!$B$60:$B$107,$B42,'11.1.Амортиз.нови активи'!N$60:N$107)+('11.1.Амортиз.нови активи'!G$110*SUMIF('11.1.Амортиз.нови активи'!$B$60:$B$107,$B42,'11.1.Амортиз.нови активи'!AB$60:AB$107))</f>
        <v>0.08</v>
      </c>
      <c r="O42" s="894">
        <f>$L42-SUMIF('11.2. Нови активи отч.год.'!$B$61:$B$108,$B42,'11.2. Нови активи отч.год.'!$L$61:$L$108)+SUMIF('11.2. Нови активи отч.год.'!$B$61:$B$108,$B42,'11.2. Нови активи отч.год.'!O$61:O$108)+SUMIF('11.1.Амортиз.нови активи'!$B$60:$B$107,$B42,'11.1.Амортиз.нови активи'!O$60:O$107)+('11.1.Амортиз.нови активи'!H$110*SUMIF('11.1.Амортиз.нови активи'!$B$60:$B$107,$B42,'11.1.Амортиз.нови активи'!AC$60:AC$107))</f>
        <v>0.08</v>
      </c>
      <c r="P42" s="894">
        <f>$L42-SUMIF('11.2. Нови активи отч.год.'!$B$61:$B$108,$B42,'11.2. Нови активи отч.год.'!$L$61:$L$108)+SUMIF('11.2. Нови активи отч.год.'!$B$61:$B$108,$B42,'11.2. Нови активи отч.год.'!P$61:P$108)+SUMIF('11.1.Амортиз.нови активи'!$B$60:$B$107,$B42,'11.1.Амортиз.нови активи'!P$60:P$107)+('11.1.Амортиз.нови активи'!I$110*SUMIF('11.1.Амортиз.нови активи'!$B$60:$B$107,$B42,'11.1.Амортиз.нови активи'!AD$60:AD$107))</f>
        <v>0.08</v>
      </c>
      <c r="Q42" s="894">
        <f>$L42-SUMIF('11.2. Нови активи отч.год.'!$B$61:$B$108,$B42,'11.2. Нови активи отч.год.'!$L$61:$L$108)+SUMIF('11.2. Нови активи отч.год.'!$B$61:$B$108,$B42,'11.2. Нови активи отч.год.'!Q$61:Q$108)+SUMIF('11.1.Амортиз.нови активи'!$B$60:$B$107,$B42,'11.1.Амортиз.нови активи'!Q$60:Q$107)+('11.1.Амортиз.нови активи'!J$110*SUMIF('11.1.Амортиз.нови активи'!$B$60:$B$107,$B42,'11.1.Амортиз.нови активи'!AE$60:AE$107))</f>
        <v>0.08</v>
      </c>
      <c r="R42" s="895">
        <f>$L42-SUMIF('11.2. Нови активи отч.год.'!$B$61:$B$108,$B42,'11.2. Нови активи отч.год.'!$L$61:$L$108)+SUMIF('11.2. Нови активи отч.год.'!$B$61:$B$108,$B42,'11.2. Нови активи отч.год.'!R$61:R$108)+SUMIF('11.1.Амортиз.нови активи'!$B$60:$B$107,$B42,'11.1.Амортиз.нови активи'!R$60:R$107)+('11.1.Амортиз.нови активи'!K$110*SUMIF('11.1.Амортиз.нови активи'!$B$60:$B$107,$B42,'11.1.Амортиз.нови активи'!AF$60:AF$107))</f>
        <v>0.08</v>
      </c>
      <c r="S42" s="2246">
        <v>1</v>
      </c>
      <c r="T42" s="893">
        <f>$S42-SUMIF('11.2. Нови активи отч.год.'!$B$61:$B$108,$B42,'11.2. Нови активи отч.год.'!$S$61:$S$108)+SUMIF('11.2. Нови активи отч.год.'!$B$61:$B$108,$B42,'11.2. Нови активи отч.год.'!T$61:T$108)+SUMIF('11.1.Амортиз.нови активи'!$B$60:$B$107,$B42,'11.1.Амортиз.нови активи'!T$60:T$107)+('11.1.Амортиз.нови активи'!F$111*SUMIF('11.1.Амортиз.нови активи'!$B$60:$B$107,$B42,'11.1.Амортиз.нови активи'!AA$60:AA$107))</f>
        <v>1.1200000000000001</v>
      </c>
      <c r="U42" s="894">
        <f>$S42-SUMIF('11.2. Нови активи отч.год.'!$B$61:$B$108,$B42,'11.2. Нови активи отч.год.'!$S$61:$S$108)+SUMIF('11.2. Нови активи отч.год.'!$B$61:$B$108,$B42,'11.2. Нови активи отч.год.'!U$61:U$108)+SUMIF('11.1.Амортиз.нови активи'!$B$60:$B$107,$B42,'11.1.Амортиз.нови активи'!U$60:U$107)+('11.1.Амортиз.нови активи'!G$111*SUMIF('11.1.Амортиз.нови активи'!$B$60:$B$107,$B42,'11.1.Амортиз.нови активи'!AB$60:AB$107))</f>
        <v>1.1200000000000001</v>
      </c>
      <c r="V42" s="894">
        <f>$S42-SUMIF('11.2. Нови активи отч.год.'!$B$61:$B$108,$B42,'11.2. Нови активи отч.год.'!$S$61:$S$108)+SUMIF('11.2. Нови активи отч.год.'!$B$61:$B$108,$B42,'11.2. Нови активи отч.год.'!V$61:V$108)+SUMIF('11.1.Амортиз.нови активи'!$B$60:$B$107,$B42,'11.1.Амортиз.нови активи'!V$60:V$107)+('11.1.Амортиз.нови активи'!H$111*SUMIF('11.1.Амортиз.нови активи'!$B$60:$B$107,$B42,'11.1.Амортиз.нови активи'!AC$60:AC$107))</f>
        <v>1.1200000000000001</v>
      </c>
      <c r="W42" s="894">
        <f>$S42-SUMIF('11.2. Нови активи отч.год.'!$B$61:$B$108,$B42,'11.2. Нови активи отч.год.'!$S$61:$S$108)+SUMIF('11.2. Нови активи отч.год.'!$B$61:$B$108,$B42,'11.2. Нови активи отч.год.'!W$61:W$108)+SUMIF('11.1.Амортиз.нови активи'!$B$60:$B$107,$B42,'11.1.Амортиз.нови активи'!W$60:W$107)+('11.1.Амортиз.нови активи'!I$111*SUMIF('11.1.Амортиз.нови активи'!$B$60:$B$107,$B42,'11.1.Амортиз.нови активи'!AD$60:AD$107))</f>
        <v>1.1200000000000001</v>
      </c>
      <c r="X42" s="894">
        <f>$S42-SUMIF('11.2. Нови активи отч.год.'!$B$61:$B$108,$B42,'11.2. Нови активи отч.год.'!$S$61:$S$108)+SUMIF('11.2. Нови активи отч.год.'!$B$61:$B$108,$B42,'11.2. Нови активи отч.год.'!X$61:X$108)+SUMIF('11.1.Амортиз.нови активи'!$B$60:$B$107,$B42,'11.1.Амортиз.нови активи'!X$60:X$107)+('11.1.Амортиз.нови активи'!J$111*SUMIF('11.1.Амортиз.нови активи'!$B$60:$B$107,$B42,'11.1.Амортиз.нови активи'!AE$60:AE$107))</f>
        <v>1.1200000000000001</v>
      </c>
      <c r="Y42" s="895">
        <f>$S42-SUMIF('11.2. Нови активи отч.год.'!$B$61:$B$108,$B42,'11.2. Нови активи отч.год.'!$S$61:$S$108)+SUMIF('11.2. Нови активи отч.год.'!$B$61:$B$108,$B42,'11.2. Нови активи отч.год.'!Y$61:Y$108)+SUMIF('11.1.Амортиз.нови активи'!$B$60:$B$107,$B42,'11.1.Амортиз.нови активи'!Y$60:Y$107)+('11.1.Амортиз.нови активи'!K$111*SUMIF('11.1.Амортиз.нови активи'!$B$60:$B$107,$B42,'11.1.Амортиз.нови активи'!AF$60:AF$107))</f>
        <v>1.1200000000000001</v>
      </c>
      <c r="Z42" s="1672"/>
      <c r="AA42" s="1703"/>
    </row>
    <row r="43" spans="1:28">
      <c r="A43" s="1674">
        <v>5</v>
      </c>
      <c r="B43" s="1700">
        <v>205</v>
      </c>
      <c r="C43" s="1671"/>
      <c r="D43" s="1624" t="s">
        <v>275</v>
      </c>
      <c r="E43" s="1683">
        <f>SUM(E44:E47)</f>
        <v>194</v>
      </c>
      <c r="F43" s="1684">
        <f>SUM(F44:F47)</f>
        <v>215.24</v>
      </c>
      <c r="G43" s="1685">
        <f>SUM(G44:G47)</f>
        <v>236.78</v>
      </c>
      <c r="H43" s="1685">
        <f>SUM(H44:H47)</f>
        <v>249.98</v>
      </c>
      <c r="I43" s="1685">
        <f>SUM(I44:I47)</f>
        <v>253.78</v>
      </c>
      <c r="J43" s="1685">
        <f t="shared" ref="J43:K43" si="8">SUM(J44:J47)</f>
        <v>241.38</v>
      </c>
      <c r="K43" s="1685">
        <f t="shared" si="8"/>
        <v>248.88</v>
      </c>
      <c r="L43" s="1683">
        <f>SUM(L44:L47)</f>
        <v>60</v>
      </c>
      <c r="M43" s="1684">
        <f>SUM(M44:M47)</f>
        <v>60.2</v>
      </c>
      <c r="N43" s="1685">
        <f>SUM(N44:N47)</f>
        <v>130.19999999999999</v>
      </c>
      <c r="O43" s="1685">
        <f t="shared" ref="O43:R43" si="9">SUM(O44:O47)</f>
        <v>200.2</v>
      </c>
      <c r="P43" s="1685">
        <f t="shared" si="9"/>
        <v>200.2</v>
      </c>
      <c r="Q43" s="1685">
        <f t="shared" si="9"/>
        <v>200.2</v>
      </c>
      <c r="R43" s="1685">
        <f t="shared" si="9"/>
        <v>200.2</v>
      </c>
      <c r="S43" s="1683">
        <f>SUM(S44:S47)</f>
        <v>4</v>
      </c>
      <c r="T43" s="1684">
        <f>SUM(T44:T47)</f>
        <v>6.2</v>
      </c>
      <c r="U43" s="1685">
        <f>SUM(U44:U47)</f>
        <v>6.2</v>
      </c>
      <c r="V43" s="1685">
        <f t="shared" ref="V43:Y43" si="10">SUM(V44:V47)</f>
        <v>16.2</v>
      </c>
      <c r="W43" s="1685">
        <f t="shared" si="10"/>
        <v>26.2</v>
      </c>
      <c r="X43" s="1685">
        <f t="shared" si="10"/>
        <v>25.2</v>
      </c>
      <c r="Y43" s="1686">
        <f t="shared" si="10"/>
        <v>20.2</v>
      </c>
      <c r="Z43" s="1672"/>
      <c r="AA43" s="1703"/>
    </row>
    <row r="44" spans="1:28">
      <c r="A44" s="1687"/>
      <c r="B44" s="1689">
        <v>20501</v>
      </c>
      <c r="C44" s="1671">
        <v>0.08</v>
      </c>
      <c r="D44" s="1627" t="s">
        <v>582</v>
      </c>
      <c r="E44" s="2246">
        <v>123</v>
      </c>
      <c r="F44" s="893">
        <f>$E44-SUMIF('11.2. Нови активи отч.год.'!$B$61:$B$108,$B44,'11.2. Нови активи отч.год.'!$E$61:$E$108)+SUMIF('11.2. Нови активи отч.год.'!$B$61:$B$108,$B44,'11.2. Нови активи отч.год.'!F$61:F$108)+SUMIF('11.1.Амортиз.нови активи'!$B$60:$B$107,$B44,'11.1.Амортиз.нови активи'!F$60:F$107)+('11.1.Амортиз.нови активи'!F$109*SUMIF('11.1.Амортиз.нови активи'!$B$60:$B$107,$B44,'11.1.Амортиз.нови активи'!AA$60:AA$107))</f>
        <v>132.84</v>
      </c>
      <c r="G44" s="894">
        <f>$E44-SUMIF('11.2. Нови активи отч.год.'!$B$61:$B$108,$B44,'11.2. Нови активи отч.год.'!$E$61:$E$108)+SUMIF('11.2. Нови активи отч.год.'!$B$61:$B$108,$B44,'11.2. Нови активи отч.год.'!G$61:G$108)+SUMIF('11.1.Амортиз.нови активи'!$B$60:$B$107,$B44,'11.1.Амортиз.нови активи'!G$60:G$107)+('11.1.Амортиз.нови активи'!G$109*SUMIF('11.1.Амортиз.нови активи'!$B$60:$B$107,$B44,'11.1.Амортиз.нови активи'!AB$60:AB$107))</f>
        <v>146.68</v>
      </c>
      <c r="H44" s="894">
        <f>$E44-SUMIF('11.2. Нови активи отч.год.'!$B$61:$B$108,$B44,'11.2. Нови активи отч.год.'!$E$61:$E$108)+SUMIF('11.2. Нови активи отч.год.'!$B$61:$B$108,$B44,'11.2. Нови активи отч.год.'!H$61:H$108)+SUMIF('11.1.Амортиз.нови активи'!$B$60:$B$107,$B44,'11.1.Амортиз.нови активи'!H$60:H$107)+('11.1.Амортиз.нови активи'!H$109*SUMIF('11.1.Амортиз.нови активи'!$B$60:$B$107,$B44,'11.1.Амортиз.нови активи'!AC$60:AC$107))</f>
        <v>153.88</v>
      </c>
      <c r="I44" s="894">
        <f>$E44-SUMIF('11.2. Нови активи отч.год.'!$B$61:$B$108,$B44,'11.2. Нови активи отч.год.'!$E$61:$E$108)+SUMIF('11.2. Нови активи отч.год.'!$B$61:$B$108,$B44,'11.2. Нови активи отч.год.'!I$61:I$108)+SUMIF('11.1.Амортиз.нови активи'!$B$60:$B$107,$B44,'11.1.Амортиз.нови активи'!I$60:I$107)+('11.1.Амортиз.нови активи'!I$109*SUMIF('11.1.Амортиз.нови активи'!$B$60:$B$107,$B44,'11.1.Амортиз.нови активи'!AD$60:AD$107))</f>
        <v>160.68</v>
      </c>
      <c r="J44" s="894">
        <f>$E44-SUMIF('11.2. Нови активи отч.год.'!$B$61:$B$108,$B44,'11.2. Нови активи отч.год.'!$E$61:$E$108)+SUMIF('11.2. Нови активи отч.год.'!$B$61:$B$108,$B44,'11.2. Нови активи отч.год.'!J$61:J$108)+SUMIF('11.1.Амортиз.нови активи'!$B$60:$B$107,$B44,'11.1.Амортиз.нови активи'!J$60:J$107)+('11.1.Амортиз.нови активи'!J$109*SUMIF('11.1.Амортиз.нови активи'!$B$60:$B$107,$B44,'11.1.Амортиз.нови активи'!AE$60:AE$107))</f>
        <v>166.28</v>
      </c>
      <c r="K44" s="895">
        <f>$E44-SUMIF('11.2. Нови активи отч.год.'!$B$61:$B$108,$B44,'11.2. Нови активи отч.год.'!$E$61:$E$108)+SUMIF('11.2. Нови активи отч.год.'!$B$61:$B$108,$B44,'11.2. Нови активи отч.год.'!K$61:K$108)+SUMIF('11.1.Амортиз.нови активи'!$B$60:$B$107,$B44,'11.1.Амортиз.нови активи'!K$60:K$107)+('11.1.Амортиз.нови активи'!K$109*SUMIF('11.1.Амортиз.нови активи'!$B$60:$B$107,$B44,'11.1.Амортиз.нови активи'!AF$60:AF$107))</f>
        <v>170.28</v>
      </c>
      <c r="L44" s="2246">
        <v>60</v>
      </c>
      <c r="M44" s="893">
        <f>$L44-SUMIF('11.2. Нови активи отч.год.'!$B$61:$B$108,$B44,'11.2. Нови активи отч.год.'!$L$61:$L$108)+SUMIF('11.2. Нови активи отч.год.'!$B$61:$B$108,$B44,'11.2. Нови активи отч.год.'!M$61:M$108)+SUMIF('11.1.Амортиз.нови активи'!$B$60:$B$107,$B44,'11.1.Амортиз.нови активи'!M$60:M$107)+('11.1.Амортиз.нови активи'!F$110*SUMIF('11.1.Амортиз.нови активи'!$B$60:$B$107,$B44,'11.1.Амортиз.нови активи'!AA$60:AA$107))</f>
        <v>60</v>
      </c>
      <c r="N44" s="894">
        <f>$L44-SUMIF('11.2. Нови активи отч.год.'!$B$61:$B$108,$B44,'11.2. Нови активи отч.год.'!$L$61:$L$108)+SUMIF('11.2. Нови активи отч.год.'!$B$61:$B$108,$B44,'11.2. Нови активи отч.год.'!N$61:N$108)+SUMIF('11.1.Амортиз.нови активи'!$B$60:$B$107,$B44,'11.1.Амортиз.нови активи'!N$60:N$107)+('11.1.Амортиз.нови активи'!G$110*SUMIF('11.1.Амортиз.нови активи'!$B$60:$B$107,$B44,'11.1.Амортиз.нови активи'!AB$60:AB$107))</f>
        <v>70</v>
      </c>
      <c r="O44" s="894">
        <f>$L44-SUMIF('11.2. Нови активи отч.год.'!$B$61:$B$108,$B44,'11.2. Нови активи отч.год.'!$L$61:$L$108)+SUMIF('11.2. Нови активи отч.год.'!$B$61:$B$108,$B44,'11.2. Нови активи отч.год.'!O$61:O$108)+SUMIF('11.1.Амортиз.нови активи'!$B$60:$B$107,$B44,'11.1.Амортиз.нови активи'!O$60:O$107)+('11.1.Амортиз.нови активи'!H$110*SUMIF('11.1.Амортиз.нови активи'!$B$60:$B$107,$B44,'11.1.Амортиз.нови активи'!AC$60:AC$107))</f>
        <v>80</v>
      </c>
      <c r="P44" s="894">
        <f>$L44-SUMIF('11.2. Нови активи отч.год.'!$B$61:$B$108,$B44,'11.2. Нови активи отч.год.'!$L$61:$L$108)+SUMIF('11.2. Нови активи отч.год.'!$B$61:$B$108,$B44,'11.2. Нови активи отч.год.'!P$61:P$108)+SUMIF('11.1.Амортиз.нови активи'!$B$60:$B$107,$B44,'11.1.Амортиз.нови активи'!P$60:P$107)+('11.1.Амортиз.нови активи'!I$110*SUMIF('11.1.Амортиз.нови активи'!$B$60:$B$107,$B44,'11.1.Амортиз.нови активи'!AD$60:AD$107))</f>
        <v>80</v>
      </c>
      <c r="Q44" s="894">
        <f>$L44-SUMIF('11.2. Нови активи отч.год.'!$B$61:$B$108,$B44,'11.2. Нови активи отч.год.'!$L$61:$L$108)+SUMIF('11.2. Нови активи отч.год.'!$B$61:$B$108,$B44,'11.2. Нови активи отч.год.'!Q$61:Q$108)+SUMIF('11.1.Амортиз.нови активи'!$B$60:$B$107,$B44,'11.1.Амортиз.нови активи'!Q$60:Q$107)+('11.1.Амортиз.нови активи'!J$110*SUMIF('11.1.Амортиз.нови активи'!$B$60:$B$107,$B44,'11.1.Амортиз.нови активи'!AE$60:AE$107))</f>
        <v>80</v>
      </c>
      <c r="R44" s="895">
        <f>$L44-SUMIF('11.2. Нови активи отч.год.'!$B$61:$B$108,$B44,'11.2. Нови активи отч.год.'!$L$61:$L$108)+SUMIF('11.2. Нови активи отч.год.'!$B$61:$B$108,$B44,'11.2. Нови активи отч.год.'!R$61:R$108)+SUMIF('11.1.Амортиз.нови активи'!$B$60:$B$107,$B44,'11.1.Амортиз.нови активи'!R$60:R$107)+('11.1.Амортиз.нови активи'!K$110*SUMIF('11.1.Амортиз.нови активи'!$B$60:$B$107,$B44,'11.1.Амортиз.нови активи'!AF$60:AF$107))</f>
        <v>80</v>
      </c>
      <c r="S44" s="2246">
        <v>0</v>
      </c>
      <c r="T44" s="893">
        <f>$S44-SUMIF('11.2. Нови активи отч.год.'!$B$61:$B$108,$B44,'11.2. Нови активи отч.год.'!$S$61:$S$108)+SUMIF('11.2. Нови активи отч.год.'!$B$61:$B$108,$B44,'11.2. Нови активи отч.год.'!T$61:T$108)+SUMIF('11.1.Амортиз.нови активи'!$B$60:$B$107,$B44,'11.1.Амортиз.нови активи'!T$60:T$107)+('11.1.Амортиз.нови активи'!F$111*SUMIF('11.1.Амортиз.нови активи'!$B$60:$B$107,$B44,'11.1.Амортиз.нови активи'!AA$60:AA$107))</f>
        <v>0</v>
      </c>
      <c r="U44" s="894">
        <f>$S44-SUMIF('11.2. Нови активи отч.год.'!$B$61:$B$108,$B44,'11.2. Нови активи отч.год.'!$S$61:$S$108)+SUMIF('11.2. Нови активи отч.год.'!$B$61:$B$108,$B44,'11.2. Нови активи отч.год.'!U$61:U$108)+SUMIF('11.1.Амортиз.нови активи'!$B$60:$B$107,$B44,'11.1.Амортиз.нови активи'!U$60:U$107)+('11.1.Амортиз.нови активи'!G$111*SUMIF('11.1.Амортиз.нови активи'!$B$60:$B$107,$B44,'11.1.Амортиз.нови активи'!AB$60:AB$107))</f>
        <v>0</v>
      </c>
      <c r="V44" s="894">
        <f>$S44-SUMIF('11.2. Нови активи отч.год.'!$B$61:$B$108,$B44,'11.2. Нови активи отч.год.'!$S$61:$S$108)+SUMIF('11.2. Нови активи отч.год.'!$B$61:$B$108,$B44,'11.2. Нови активи отч.год.'!V$61:V$108)+SUMIF('11.1.Амортиз.нови активи'!$B$60:$B$107,$B44,'11.1.Амортиз.нови активи'!V$60:V$107)+('11.1.Амортиз.нови активи'!H$111*SUMIF('11.1.Амортиз.нови активи'!$B$60:$B$107,$B44,'11.1.Амортиз.нови активи'!AC$60:AC$107))</f>
        <v>10</v>
      </c>
      <c r="W44" s="894">
        <f>$S44-SUMIF('11.2. Нови активи отч.год.'!$B$61:$B$108,$B44,'11.2. Нови активи отч.год.'!$S$61:$S$108)+SUMIF('11.2. Нови активи отч.год.'!$B$61:$B$108,$B44,'11.2. Нови активи отч.год.'!W$61:W$108)+SUMIF('11.1.Амортиз.нови активи'!$B$60:$B$107,$B44,'11.1.Амортиз.нови активи'!W$60:W$107)+('11.1.Амортиз.нови активи'!I$111*SUMIF('11.1.Амортиз.нови активи'!$B$60:$B$107,$B44,'11.1.Амортиз.нови активи'!AD$60:AD$107))</f>
        <v>20</v>
      </c>
      <c r="X44" s="894">
        <f>$S44-SUMIF('11.2. Нови активи отч.год.'!$B$61:$B$108,$B44,'11.2. Нови активи отч.год.'!$S$61:$S$108)+SUMIF('11.2. Нови активи отч.год.'!$B$61:$B$108,$B44,'11.2. Нови активи отч.год.'!X$61:X$108)+SUMIF('11.1.Амортиз.нови активи'!$B$60:$B$107,$B44,'11.1.Амортиз.нови активи'!X$60:X$107)+('11.1.Амортиз.нови активи'!J$111*SUMIF('11.1.Амортиз.нови активи'!$B$60:$B$107,$B44,'11.1.Амортиз.нови активи'!AE$60:AE$107))</f>
        <v>20</v>
      </c>
      <c r="Y44" s="895">
        <f>$S44-SUMIF('11.2. Нови активи отч.год.'!$B$61:$B$108,$B44,'11.2. Нови активи отч.год.'!$S$61:$S$108)+SUMIF('11.2. Нови активи отч.год.'!$B$61:$B$108,$B44,'11.2. Нови активи отч.год.'!Y$61:Y$108)+SUMIF('11.1.Амортиз.нови активи'!$B$60:$B$107,$B44,'11.1.Амортиз.нови активи'!Y$60:Y$107)+('11.1.Амортиз.нови активи'!K$111*SUMIF('11.1.Амортиз.нови активи'!$B$60:$B$107,$B44,'11.1.Амортиз.нови активи'!AF$60:AF$107))</f>
        <v>20</v>
      </c>
      <c r="Z44" s="1672"/>
      <c r="AA44" s="1703"/>
    </row>
    <row r="45" spans="1:28">
      <c r="A45" s="1687"/>
      <c r="B45" s="1689">
        <v>20502</v>
      </c>
      <c r="C45" s="1671">
        <v>0.1</v>
      </c>
      <c r="D45" s="1627" t="s">
        <v>583</v>
      </c>
      <c r="E45" s="2246">
        <v>40</v>
      </c>
      <c r="F45" s="893">
        <f>$E45-SUMIF('11.2. Нови активи отч.год.'!$B$61:$B$108,$B45,'11.2. Нови активи отч.год.'!$E$61:$E$108)+SUMIF('11.2. Нови активи отч.год.'!$B$61:$B$108,$B45,'11.2. Нови активи отч.год.'!F$61:F$108)+SUMIF('11.1.Амортиз.нови активи'!$B$60:$B$107,$B45,'11.1.Амортиз.нови активи'!F$60:F$107)+('11.1.Амортиз.нови активи'!F$109*SUMIF('11.1.Амортиз.нови активи'!$B$60:$B$107,$B45,'11.1.Амортиз.нови активи'!AA$60:AA$107))</f>
        <v>51.2</v>
      </c>
      <c r="G45" s="894">
        <f>$E45-SUMIF('11.2. Нови активи отч.год.'!$B$61:$B$108,$B45,'11.2. Нови активи отч.год.'!$E$61:$E$108)+SUMIF('11.2. Нови активи отч.год.'!$B$61:$B$108,$B45,'11.2. Нови активи отч.год.'!G$61:G$108)+SUMIF('11.1.Амортиз.нови активи'!$B$60:$B$107,$B45,'11.1.Амортиз.нови активи'!G$60:G$107)+('11.1.Амортиз.нови активи'!G$109*SUMIF('11.1.Амортиз.нови активи'!$B$60:$B$107,$B45,'11.1.Амортиз.нови активи'!AB$60:AB$107))</f>
        <v>58.9</v>
      </c>
      <c r="H45" s="894">
        <f>$E45-SUMIF('11.2. Нови активи отч.год.'!$B$61:$B$108,$B45,'11.2. Нови активи отч.год.'!$E$61:$E$108)+SUMIF('11.2. Нови активи отч.год.'!$B$61:$B$108,$B45,'11.2. Нови активи отч.год.'!H$61:H$108)+SUMIF('11.1.Амортиз.нови активи'!$B$60:$B$107,$B45,'11.1.Амортиз.нови активи'!H$60:H$107)+('11.1.Амортиз.нови активи'!H$109*SUMIF('11.1.Амортиз.нови активи'!$B$60:$B$107,$B45,'11.1.Амортиз.нови активи'!AC$60:AC$107))</f>
        <v>64.900000000000006</v>
      </c>
      <c r="I45" s="894">
        <f>$E45-SUMIF('11.2. Нови активи отч.год.'!$B$61:$B$108,$B45,'11.2. Нови активи отч.год.'!$E$61:$E$108)+SUMIF('11.2. Нови активи отч.год.'!$B$61:$B$108,$B45,'11.2. Нови активи отч.год.'!I$61:I$108)+SUMIF('11.1.Амортиз.нови активи'!$B$60:$B$107,$B45,'11.1.Амортиз.нови активи'!I$60:I$107)+('11.1.Амортиз.нови активи'!I$109*SUMIF('11.1.Амортиз.нови активи'!$B$60:$B$107,$B45,'11.1.Амортиз.нови активи'!AD$60:AD$107))</f>
        <v>70.900000000000006</v>
      </c>
      <c r="J45" s="894">
        <f>$E45-SUMIF('11.2. Нови активи отч.год.'!$B$61:$B$108,$B45,'11.2. Нови активи отч.год.'!$E$61:$E$108)+SUMIF('11.2. Нови активи отч.год.'!$B$61:$B$108,$B45,'11.2. Нови активи отч.год.'!J$61:J$108)+SUMIF('11.1.Амортиз.нови активи'!$B$60:$B$107,$B45,'11.1.Амортиз.нови активи'!J$60:J$107)+('11.1.Амортиз.нови активи'!J$109*SUMIF('11.1.Амортиз.нови активи'!$B$60:$B$107,$B45,'11.1.Амортиз.нови активи'!AE$60:AE$107))</f>
        <v>74.900000000000006</v>
      </c>
      <c r="K45" s="895">
        <f>$E45-SUMIF('11.2. Нови активи отч.год.'!$B$61:$B$108,$B45,'11.2. Нови активи отч.год.'!$E$61:$E$108)+SUMIF('11.2. Нови активи отч.год.'!$B$61:$B$108,$B45,'11.2. Нови активи отч.год.'!K$61:K$108)+SUMIF('11.1.Амортиз.нови активи'!$B$60:$B$107,$B45,'11.1.Амортиз.нови активи'!K$60:K$107)+('11.1.Амортиз.нови активи'!K$109*SUMIF('11.1.Амортиз.нови активи'!$B$60:$B$107,$B45,'11.1.Амортиз.нови активи'!AF$60:AF$107))</f>
        <v>78.400000000000006</v>
      </c>
      <c r="L45" s="2246">
        <v>0</v>
      </c>
      <c r="M45" s="893">
        <f>$L45-SUMIF('11.2. Нови активи отч.год.'!$B$61:$B$108,$B45,'11.2. Нови активи отч.год.'!$L$61:$L$108)+SUMIF('11.2. Нови активи отч.год.'!$B$61:$B$108,$B45,'11.2. Нови активи отч.год.'!M$61:M$108)+SUMIF('11.1.Амортиз.нови активи'!$B$60:$B$107,$B45,'11.1.Амортиз.нови активи'!M$60:M$107)+('11.1.Амортиз.нови активи'!F$110*SUMIF('11.1.Амортиз.нови активи'!$B$60:$B$107,$B45,'11.1.Амортиз.нови активи'!AA$60:AA$107))</f>
        <v>0.2</v>
      </c>
      <c r="N45" s="894">
        <f>$L45-SUMIF('11.2. Нови активи отч.год.'!$B$61:$B$108,$B45,'11.2. Нови активи отч.год.'!$L$61:$L$108)+SUMIF('11.2. Нови активи отч.год.'!$B$61:$B$108,$B45,'11.2. Нови активи отч.год.'!N$61:N$108)+SUMIF('11.1.Амортиз.нови активи'!$B$60:$B$107,$B45,'11.1.Амортиз.нови активи'!N$60:N$107)+('11.1.Амортиз.нови активи'!G$110*SUMIF('11.1.Амортиз.нови активи'!$B$60:$B$107,$B45,'11.1.Амортиз.нови активи'!AB$60:AB$107))</f>
        <v>0.2</v>
      </c>
      <c r="O45" s="894">
        <f>$L45-SUMIF('11.2. Нови активи отч.год.'!$B$61:$B$108,$B45,'11.2. Нови активи отч.год.'!$L$61:$L$108)+SUMIF('11.2. Нови активи отч.год.'!$B$61:$B$108,$B45,'11.2. Нови активи отч.год.'!O$61:O$108)+SUMIF('11.1.Амортиз.нови активи'!$B$60:$B$107,$B45,'11.1.Амортиз.нови активи'!O$60:O$107)+('11.1.Амортиз.нови активи'!H$110*SUMIF('11.1.Амортиз.нови активи'!$B$60:$B$107,$B45,'11.1.Амортиз.нови активи'!AC$60:AC$107))</f>
        <v>0.2</v>
      </c>
      <c r="P45" s="894">
        <f>$L45-SUMIF('11.2. Нови активи отч.год.'!$B$61:$B$108,$B45,'11.2. Нови активи отч.год.'!$L$61:$L$108)+SUMIF('11.2. Нови активи отч.год.'!$B$61:$B$108,$B45,'11.2. Нови активи отч.год.'!P$61:P$108)+SUMIF('11.1.Амортиз.нови активи'!$B$60:$B$107,$B45,'11.1.Амортиз.нови активи'!P$60:P$107)+('11.1.Амортиз.нови активи'!I$110*SUMIF('11.1.Амортиз.нови активи'!$B$60:$B$107,$B45,'11.1.Амортиз.нови активи'!AD$60:AD$107))</f>
        <v>0.2</v>
      </c>
      <c r="Q45" s="894">
        <f>$L45-SUMIF('11.2. Нови активи отч.год.'!$B$61:$B$108,$B45,'11.2. Нови активи отч.год.'!$L$61:$L$108)+SUMIF('11.2. Нови активи отч.год.'!$B$61:$B$108,$B45,'11.2. Нови активи отч.год.'!Q$61:Q$108)+SUMIF('11.1.Амортиз.нови активи'!$B$60:$B$107,$B45,'11.1.Амортиз.нови активи'!Q$60:Q$107)+('11.1.Амортиз.нови активи'!J$110*SUMIF('11.1.Амортиз.нови активи'!$B$60:$B$107,$B45,'11.1.Амортиз.нови активи'!AE$60:AE$107))</f>
        <v>0.2</v>
      </c>
      <c r="R45" s="895">
        <f>$L45-SUMIF('11.2. Нови активи отч.год.'!$B$61:$B$108,$B45,'11.2. Нови активи отч.год.'!$L$61:$L$108)+SUMIF('11.2. Нови активи отч.год.'!$B$61:$B$108,$B45,'11.2. Нови активи отч.год.'!R$61:R$108)+SUMIF('11.1.Амортиз.нови активи'!$B$60:$B$107,$B45,'11.1.Амортиз.нови активи'!R$60:R$107)+('11.1.Амортиз.нови активи'!K$110*SUMIF('11.1.Амортиз.нови активи'!$B$60:$B$107,$B45,'11.1.Амортиз.нови активи'!AF$60:AF$107))</f>
        <v>0.2</v>
      </c>
      <c r="S45" s="2246">
        <v>4</v>
      </c>
      <c r="T45" s="893">
        <f>$S45-SUMIF('11.2. Нови активи отч.год.'!$B$61:$B$108,$B45,'11.2. Нови активи отч.год.'!$S$61:$S$108)+SUMIF('11.2. Нови активи отч.год.'!$B$61:$B$108,$B45,'11.2. Нови активи отч.год.'!T$61:T$108)+SUMIF('11.1.Амортиз.нови активи'!$B$60:$B$107,$B45,'11.1.Амортиз.нови активи'!T$60:T$107)+('11.1.Амортиз.нови активи'!F$111*SUMIF('11.1.Амортиз.нови активи'!$B$60:$B$107,$B45,'11.1.Амортиз.нови активи'!AA$60:AA$107))</f>
        <v>6.2</v>
      </c>
      <c r="U45" s="894">
        <f>$S45-SUMIF('11.2. Нови активи отч.год.'!$B$61:$B$108,$B45,'11.2. Нови активи отч.год.'!$S$61:$S$108)+SUMIF('11.2. Нови активи отч.год.'!$B$61:$B$108,$B45,'11.2. Нови активи отч.год.'!U$61:U$108)+SUMIF('11.1.Амортиз.нови активи'!$B$60:$B$107,$B45,'11.1.Амортиз.нови активи'!U$60:U$107)+('11.1.Амортиз.нови активи'!G$111*SUMIF('11.1.Амортиз.нови активи'!$B$60:$B$107,$B45,'11.1.Амортиз.нови активи'!AB$60:AB$107))</f>
        <v>6.2</v>
      </c>
      <c r="V45" s="894">
        <f>$S45-SUMIF('11.2. Нови активи отч.год.'!$B$61:$B$108,$B45,'11.2. Нови активи отч.год.'!$S$61:$S$108)+SUMIF('11.2. Нови активи отч.год.'!$B$61:$B$108,$B45,'11.2. Нови активи отч.год.'!V$61:V$108)+SUMIF('11.1.Амортиз.нови активи'!$B$60:$B$107,$B45,'11.1.Амортиз.нови активи'!V$60:V$107)+('11.1.Амортиз.нови активи'!H$111*SUMIF('11.1.Амортиз.нови активи'!$B$60:$B$107,$B45,'11.1.Амортиз.нови активи'!AC$60:AC$107))</f>
        <v>6.2</v>
      </c>
      <c r="W45" s="894">
        <f>$S45-SUMIF('11.2. Нови активи отч.год.'!$B$61:$B$108,$B45,'11.2. Нови активи отч.год.'!$S$61:$S$108)+SUMIF('11.2. Нови активи отч.год.'!$B$61:$B$108,$B45,'11.2. Нови активи отч.год.'!W$61:W$108)+SUMIF('11.1.Амортиз.нови активи'!$B$60:$B$107,$B45,'11.1.Амортиз.нови активи'!W$60:W$107)+('11.1.Амортиз.нови активи'!I$111*SUMIF('11.1.Амортиз.нови активи'!$B$60:$B$107,$B45,'11.1.Амортиз.нови активи'!AD$60:AD$107))</f>
        <v>6.2</v>
      </c>
      <c r="X45" s="894">
        <f>$S45-SUMIF('11.2. Нови активи отч.год.'!$B$61:$B$108,$B45,'11.2. Нови активи отч.год.'!$S$61:$S$108)+SUMIF('11.2. Нови активи отч.год.'!$B$61:$B$108,$B45,'11.2. Нови активи отч.год.'!X$61:X$108)+SUMIF('11.1.Амортиз.нови активи'!$B$60:$B$107,$B45,'11.1.Амортиз.нови активи'!X$60:X$107)+('11.1.Амортиз.нови активи'!J$111*SUMIF('11.1.Амортиз.нови активи'!$B$60:$B$107,$B45,'11.1.Амортиз.нови активи'!AE$60:AE$107))</f>
        <v>5.2</v>
      </c>
      <c r="Y45" s="895">
        <f>$S45-SUMIF('11.2. Нови активи отч.год.'!$B$61:$B$108,$B45,'11.2. Нови активи отч.год.'!$S$61:$S$108)+SUMIF('11.2. Нови активи отч.год.'!$B$61:$B$108,$B45,'11.2. Нови активи отч.год.'!Y$61:Y$108)+SUMIF('11.1.Амортиз.нови активи'!$B$60:$B$107,$B45,'11.1.Амортиз.нови активи'!Y$60:Y$107)+('11.1.Амортиз.нови активи'!K$111*SUMIF('11.1.Амортиз.нови активи'!$B$60:$B$107,$B45,'11.1.Амортиз.нови активи'!AF$60:AF$107))</f>
        <v>0.20000000000000018</v>
      </c>
      <c r="Z45" s="1672"/>
      <c r="AA45" s="1703"/>
    </row>
    <row r="46" spans="1:28">
      <c r="A46" s="1687"/>
      <c r="B46" s="1689">
        <v>20503</v>
      </c>
      <c r="C46" s="1671">
        <v>0.1</v>
      </c>
      <c r="D46" s="1625" t="s">
        <v>584</v>
      </c>
      <c r="E46" s="2246">
        <v>31</v>
      </c>
      <c r="F46" s="893">
        <f>$E46-SUMIF('11.2. Нови активи отч.год.'!$B$61:$B$108,$B46,'11.2. Нови активи отч.год.'!$E$61:$E$108)+SUMIF('11.2. Нови активи отч.год.'!$B$61:$B$108,$B46,'11.2. Нови активи отч.год.'!F$61:F$108)+SUMIF('11.1.Амортиз.нови активи'!$B$60:$B$107,$B46,'11.1.Амортиз.нови активи'!F$60:F$107)+('11.1.Амортиз.нови активи'!F$109*SUMIF('11.1.Амортиз.нови активи'!$B$60:$B$107,$B46,'11.1.Амортиз.нови активи'!AA$60:AA$107))</f>
        <v>31</v>
      </c>
      <c r="G46" s="894">
        <f>$E46-SUMIF('11.2. Нови активи отч.год.'!$B$61:$B$108,$B46,'11.2. Нови активи отч.год.'!$E$61:$E$108)+SUMIF('11.2. Нови активи отч.год.'!$B$61:$B$108,$B46,'11.2. Нови активи отч.год.'!G$61:G$108)+SUMIF('11.1.Амортиз.нови активи'!$B$60:$B$107,$B46,'11.1.Амортиз.нови активи'!G$60:G$107)+('11.1.Амортиз.нови активи'!G$109*SUMIF('11.1.Амортиз.нови активи'!$B$60:$B$107,$B46,'11.1.Амортиз.нови активи'!AB$60:AB$107))</f>
        <v>31</v>
      </c>
      <c r="H46" s="894">
        <f>$E46-SUMIF('11.2. Нови активи отч.год.'!$B$61:$B$108,$B46,'11.2. Нови активи отч.год.'!$E$61:$E$108)+SUMIF('11.2. Нови активи отч.год.'!$B$61:$B$108,$B46,'11.2. Нови активи отч.год.'!H$61:H$108)+SUMIF('11.1.Амортиз.нови активи'!$B$60:$B$107,$B46,'11.1.Амортиз.нови активи'!H$60:H$107)+('11.1.Амортиз.нови активи'!H$109*SUMIF('11.1.Амортиз.нови активи'!$B$60:$B$107,$B46,'11.1.Амортиз.нови активи'!AC$60:AC$107))</f>
        <v>31</v>
      </c>
      <c r="I46" s="894">
        <f>$E46-SUMIF('11.2. Нови активи отч.год.'!$B$61:$B$108,$B46,'11.2. Нови активи отч.год.'!$E$61:$E$108)+SUMIF('11.2. Нови активи отч.год.'!$B$61:$B$108,$B46,'11.2. Нови активи отч.год.'!I$61:I$108)+SUMIF('11.1.Амортиз.нови активи'!$B$60:$B$107,$B46,'11.1.Амортиз.нови активи'!I$60:I$107)+('11.1.Амортиз.нови активи'!I$109*SUMIF('11.1.Амортиз.нови активи'!$B$60:$B$107,$B46,'11.1.Амортиз.нови активи'!AD$60:AD$107))</f>
        <v>22</v>
      </c>
      <c r="J46" s="894">
        <f>$E46-SUMIF('11.2. Нови активи отч.год.'!$B$61:$B$108,$B46,'11.2. Нови активи отч.год.'!$E$61:$E$108)+SUMIF('11.2. Нови активи отч.год.'!$B$61:$B$108,$B46,'11.2. Нови активи отч.год.'!J$61:J$108)+SUMIF('11.1.Амортиз.нови активи'!$B$60:$B$107,$B46,'11.1.Амортиз.нови активи'!J$60:J$107)+('11.1.Амортиз.нови активи'!J$109*SUMIF('11.1.Амортиз.нови активи'!$B$60:$B$107,$B46,'11.1.Амортиз.нови активи'!AE$60:AE$107))</f>
        <v>0</v>
      </c>
      <c r="K46" s="895">
        <f>$E46-SUMIF('11.2. Нови активи отч.год.'!$B$61:$B$108,$B46,'11.2. Нови активи отч.год.'!$E$61:$E$108)+SUMIF('11.2. Нови активи отч.год.'!$B$61:$B$108,$B46,'11.2. Нови активи отч.год.'!K$61:K$108)+SUMIF('11.1.Амортиз.нови активи'!$B$60:$B$107,$B46,'11.1.Амортиз.нови активи'!K$60:K$107)+('11.1.Амортиз.нови активи'!K$109*SUMIF('11.1.Амортиз.нови активи'!$B$60:$B$107,$B46,'11.1.Амортиз.нови активи'!AF$60:AF$107))</f>
        <v>0</v>
      </c>
      <c r="L46" s="2246">
        <v>0</v>
      </c>
      <c r="M46" s="893">
        <f>$L46-SUMIF('11.2. Нови активи отч.год.'!$B$61:$B$108,$B46,'11.2. Нови активи отч.год.'!$L$61:$L$108)+SUMIF('11.2. Нови активи отч.год.'!$B$61:$B$108,$B46,'11.2. Нови активи отч.год.'!M$61:M$108)+SUMIF('11.1.Амортиз.нови активи'!$B$60:$B$107,$B46,'11.1.Амортиз.нови активи'!M$60:M$107)+('11.1.Амортиз.нови активи'!F$110*SUMIF('11.1.Амортиз.нови активи'!$B$60:$B$107,$B46,'11.1.Амортиз.нови активи'!AA$60:AA$107))</f>
        <v>0</v>
      </c>
      <c r="N46" s="894">
        <f>$L46-SUMIF('11.2. Нови активи отч.год.'!$B$61:$B$108,$B46,'11.2. Нови активи отч.год.'!$L$61:$L$108)+SUMIF('11.2. Нови активи отч.год.'!$B$61:$B$108,$B46,'11.2. Нови активи отч.год.'!N$61:N$108)+SUMIF('11.1.Амортиз.нови активи'!$B$60:$B$107,$B46,'11.1.Амортиз.нови активи'!N$60:N$107)+('11.1.Амортиз.нови активи'!G$110*SUMIF('11.1.Амортиз.нови активи'!$B$60:$B$107,$B46,'11.1.Амортиз.нови активи'!AB$60:AB$107))</f>
        <v>60</v>
      </c>
      <c r="O46" s="894">
        <f>$L46-SUMIF('11.2. Нови активи отч.год.'!$B$61:$B$108,$B46,'11.2. Нови активи отч.год.'!$L$61:$L$108)+SUMIF('11.2. Нови активи отч.год.'!$B$61:$B$108,$B46,'11.2. Нови активи отч.год.'!O$61:O$108)+SUMIF('11.1.Амортиз.нови активи'!$B$60:$B$107,$B46,'11.1.Амортиз.нови активи'!O$60:O$107)+('11.1.Амортиз.нови активи'!H$110*SUMIF('11.1.Амортиз.нови активи'!$B$60:$B$107,$B46,'11.1.Амортиз.нови активи'!AC$60:AC$107))</f>
        <v>120</v>
      </c>
      <c r="P46" s="894">
        <f>$L46-SUMIF('11.2. Нови активи отч.год.'!$B$61:$B$108,$B46,'11.2. Нови активи отч.год.'!$L$61:$L$108)+SUMIF('11.2. Нови активи отч.год.'!$B$61:$B$108,$B46,'11.2. Нови активи отч.год.'!P$61:P$108)+SUMIF('11.1.Амортиз.нови активи'!$B$60:$B$107,$B46,'11.1.Амортиз.нови активи'!P$60:P$107)+('11.1.Амортиз.нови активи'!I$110*SUMIF('11.1.Амортиз.нови активи'!$B$60:$B$107,$B46,'11.1.Амортиз.нови активи'!AD$60:AD$107))</f>
        <v>120</v>
      </c>
      <c r="Q46" s="894">
        <f>$L46-SUMIF('11.2. Нови активи отч.год.'!$B$61:$B$108,$B46,'11.2. Нови активи отч.год.'!$L$61:$L$108)+SUMIF('11.2. Нови активи отч.год.'!$B$61:$B$108,$B46,'11.2. Нови активи отч.год.'!Q$61:Q$108)+SUMIF('11.1.Амортиз.нови активи'!$B$60:$B$107,$B46,'11.1.Амортиз.нови активи'!Q$60:Q$107)+('11.1.Амортиз.нови активи'!J$110*SUMIF('11.1.Амортиз.нови активи'!$B$60:$B$107,$B46,'11.1.Амортиз.нови активи'!AE$60:AE$107))</f>
        <v>120</v>
      </c>
      <c r="R46" s="895">
        <f>$L46-SUMIF('11.2. Нови активи отч.год.'!$B$61:$B$108,$B46,'11.2. Нови активи отч.год.'!$L$61:$L$108)+SUMIF('11.2. Нови активи отч.год.'!$B$61:$B$108,$B46,'11.2. Нови активи отч.год.'!R$61:R$108)+SUMIF('11.1.Амортиз.нови активи'!$B$60:$B$107,$B46,'11.1.Амортиз.нови активи'!R$60:R$107)+('11.1.Амортиз.нови активи'!K$110*SUMIF('11.1.Амортиз.нови активи'!$B$60:$B$107,$B46,'11.1.Амортиз.нови активи'!AF$60:AF$107))</f>
        <v>120</v>
      </c>
      <c r="S46" s="2246">
        <v>0</v>
      </c>
      <c r="T46" s="893">
        <f>$S46-SUMIF('11.2. Нови активи отч.год.'!$B$61:$B$108,$B46,'11.2. Нови активи отч.год.'!$S$61:$S$108)+SUMIF('11.2. Нови активи отч.год.'!$B$61:$B$108,$B46,'11.2. Нови активи отч.год.'!T$61:T$108)+SUMIF('11.1.Амортиз.нови активи'!$B$60:$B$107,$B46,'11.1.Амортиз.нови активи'!T$60:T$107)+('11.1.Амортиз.нови активи'!F$111*SUMIF('11.1.Амортиз.нови активи'!$B$60:$B$107,$B46,'11.1.Амортиз.нови активи'!AA$60:AA$107))</f>
        <v>0</v>
      </c>
      <c r="U46" s="894">
        <f>$S46-SUMIF('11.2. Нови активи отч.год.'!$B$61:$B$108,$B46,'11.2. Нови активи отч.год.'!$S$61:$S$108)+SUMIF('11.2. Нови активи отч.год.'!$B$61:$B$108,$B46,'11.2. Нови активи отч.год.'!U$61:U$108)+SUMIF('11.1.Амортиз.нови активи'!$B$60:$B$107,$B46,'11.1.Амортиз.нови активи'!U$60:U$107)+('11.1.Амортиз.нови активи'!G$111*SUMIF('11.1.Амортиз.нови активи'!$B$60:$B$107,$B46,'11.1.Амортиз.нови активи'!AB$60:AB$107))</f>
        <v>0</v>
      </c>
      <c r="V46" s="894">
        <f>$S46-SUMIF('11.2. Нови активи отч.год.'!$B$61:$B$108,$B46,'11.2. Нови активи отч.год.'!$S$61:$S$108)+SUMIF('11.2. Нови активи отч.год.'!$B$61:$B$108,$B46,'11.2. Нови активи отч.год.'!V$61:V$108)+SUMIF('11.1.Амортиз.нови активи'!$B$60:$B$107,$B46,'11.1.Амортиз.нови активи'!V$60:V$107)+('11.1.Амортиз.нови активи'!H$111*SUMIF('11.1.Амортиз.нови активи'!$B$60:$B$107,$B46,'11.1.Амортиз.нови активи'!AC$60:AC$107))</f>
        <v>0</v>
      </c>
      <c r="W46" s="894">
        <f>$S46-SUMIF('11.2. Нови активи отч.год.'!$B$61:$B$108,$B46,'11.2. Нови активи отч.год.'!$S$61:$S$108)+SUMIF('11.2. Нови активи отч.год.'!$B$61:$B$108,$B46,'11.2. Нови активи отч.год.'!W$61:W$108)+SUMIF('11.1.Амортиз.нови активи'!$B$60:$B$107,$B46,'11.1.Амортиз.нови активи'!W$60:W$107)+('11.1.Амортиз.нови активи'!I$111*SUMIF('11.1.Амортиз.нови активи'!$B$60:$B$107,$B46,'11.1.Амортиз.нови активи'!AD$60:AD$107))</f>
        <v>0</v>
      </c>
      <c r="X46" s="894">
        <f>$S46-SUMIF('11.2. Нови активи отч.год.'!$B$61:$B$108,$B46,'11.2. Нови активи отч.год.'!$S$61:$S$108)+SUMIF('11.2. Нови активи отч.год.'!$B$61:$B$108,$B46,'11.2. Нови активи отч.год.'!X$61:X$108)+SUMIF('11.1.Амортиз.нови активи'!$B$60:$B$107,$B46,'11.1.Амортиз.нови активи'!X$60:X$107)+('11.1.Амортиз.нови активи'!J$111*SUMIF('11.1.Амортиз.нови активи'!$B$60:$B$107,$B46,'11.1.Амортиз.нови активи'!AE$60:AE$107))</f>
        <v>0</v>
      </c>
      <c r="Y46" s="895">
        <f>$S46-SUMIF('11.2. Нови активи отч.год.'!$B$61:$B$108,$B46,'11.2. Нови активи отч.год.'!$S$61:$S$108)+SUMIF('11.2. Нови активи отч.год.'!$B$61:$B$108,$B46,'11.2. Нови активи отч.год.'!Y$61:Y$108)+SUMIF('11.1.Амортиз.нови активи'!$B$60:$B$107,$B46,'11.1.Амортиз.нови активи'!Y$60:Y$107)+('11.1.Амортиз.нови активи'!K$111*SUMIF('11.1.Амортиз.нови активи'!$B$60:$B$107,$B46,'11.1.Амортиз.нови активи'!AF$60:AF$107))</f>
        <v>0</v>
      </c>
      <c r="Z46" s="1672"/>
      <c r="AA46" s="1703"/>
    </row>
    <row r="47" spans="1:28">
      <c r="A47" s="1687"/>
      <c r="B47" s="1689">
        <v>20504</v>
      </c>
      <c r="C47" s="1671">
        <v>0.1</v>
      </c>
      <c r="D47" s="1625" t="s">
        <v>759</v>
      </c>
      <c r="E47" s="2246">
        <v>0</v>
      </c>
      <c r="F47" s="893">
        <f>$E47-SUMIF('11.2. Нови активи отч.год.'!$B$61:$B$108,$B47,'11.2. Нови активи отч.год.'!$E$61:$E$108)+SUMIF('11.2. Нови активи отч.год.'!$B$61:$B$108,$B47,'11.2. Нови активи отч.год.'!F$61:F$108)+SUMIF('11.1.Амортиз.нови активи'!$B$60:$B$107,$B47,'11.1.Амортиз.нови активи'!F$60:F$107)+('11.1.Амортиз.нови активи'!F$109*SUMIF('11.1.Амортиз.нови активи'!$B$60:$B$107,$B47,'11.1.Амортиз.нови активи'!AA$60:AA$107))</f>
        <v>0.2</v>
      </c>
      <c r="G47" s="894">
        <f>$E47-SUMIF('11.2. Нови активи отч.год.'!$B$61:$B$108,$B47,'11.2. Нови активи отч.год.'!$E$61:$E$108)+SUMIF('11.2. Нови активи отч.год.'!$B$61:$B$108,$B47,'11.2. Нови активи отч.год.'!G$61:G$108)+SUMIF('11.1.Амортиз.нови активи'!$B$60:$B$107,$B47,'11.1.Амортиз.нови активи'!G$60:G$107)+('11.1.Амортиз.нови активи'!G$109*SUMIF('11.1.Амортиз.нови активи'!$B$60:$B$107,$B47,'11.1.Амортиз.нови активи'!AB$60:AB$107))</f>
        <v>0.2</v>
      </c>
      <c r="H47" s="894">
        <f>$E47-SUMIF('11.2. Нови активи отч.год.'!$B$61:$B$108,$B47,'11.2. Нови активи отч.год.'!$E$61:$E$108)+SUMIF('11.2. Нови активи отч.год.'!$B$61:$B$108,$B47,'11.2. Нови активи отч.год.'!H$61:H$108)+SUMIF('11.1.Амортиз.нови активи'!$B$60:$B$107,$B47,'11.1.Амортиз.нови активи'!H$60:H$107)+('11.1.Амортиз.нови активи'!H$109*SUMIF('11.1.Амортиз.нови активи'!$B$60:$B$107,$B47,'11.1.Амортиз.нови активи'!AC$60:AC$107))</f>
        <v>0.2</v>
      </c>
      <c r="I47" s="894">
        <f>$E47-SUMIF('11.2. Нови активи отч.год.'!$B$61:$B$108,$B47,'11.2. Нови активи отч.год.'!$E$61:$E$108)+SUMIF('11.2. Нови активи отч.год.'!$B$61:$B$108,$B47,'11.2. Нови активи отч.год.'!I$61:I$108)+SUMIF('11.1.Амортиз.нови активи'!$B$60:$B$107,$B47,'11.1.Амортиз.нови активи'!I$60:I$107)+('11.1.Амортиз.нови активи'!I$109*SUMIF('11.1.Амортиз.нови активи'!$B$60:$B$107,$B47,'11.1.Амортиз.нови активи'!AD$60:AD$107))</f>
        <v>0.2</v>
      </c>
      <c r="J47" s="894">
        <f>$E47-SUMIF('11.2. Нови активи отч.год.'!$B$61:$B$108,$B47,'11.2. Нови активи отч.год.'!$E$61:$E$108)+SUMIF('11.2. Нови активи отч.год.'!$B$61:$B$108,$B47,'11.2. Нови активи отч.год.'!J$61:J$108)+SUMIF('11.1.Амортиз.нови активи'!$B$60:$B$107,$B47,'11.1.Амортиз.нови активи'!J$60:J$107)+('11.1.Амортиз.нови активи'!J$109*SUMIF('11.1.Амортиз.нови активи'!$B$60:$B$107,$B47,'11.1.Амортиз.нови активи'!AE$60:AE$107))</f>
        <v>0.2</v>
      </c>
      <c r="K47" s="895">
        <f>$E47-SUMIF('11.2. Нови активи отч.год.'!$B$61:$B$108,$B47,'11.2. Нови активи отч.год.'!$E$61:$E$108)+SUMIF('11.2. Нови активи отч.год.'!$B$61:$B$108,$B47,'11.2. Нови активи отч.год.'!K$61:K$108)+SUMIF('11.1.Амортиз.нови активи'!$B$60:$B$107,$B47,'11.1.Амортиз.нови активи'!K$60:K$107)+('11.1.Амортиз.нови активи'!K$109*SUMIF('11.1.Амортиз.нови активи'!$B$60:$B$107,$B47,'11.1.Амортиз.нови активи'!AF$60:AF$107))</f>
        <v>0.2</v>
      </c>
      <c r="L47" s="2246">
        <v>0</v>
      </c>
      <c r="M47" s="893">
        <f>$L47-SUMIF('11.2. Нови активи отч.год.'!$B$61:$B$108,$B47,'11.2. Нови активи отч.год.'!$L$61:$L$108)+SUMIF('11.2. Нови активи отч.год.'!$B$61:$B$108,$B47,'11.2. Нови активи отч.год.'!M$61:M$108)+SUMIF('11.1.Амортиз.нови активи'!$B$60:$B$107,$B47,'11.1.Амортиз.нови активи'!M$60:M$107)+('11.1.Амортиз.нови активи'!F$110*SUMIF('11.1.Амортиз.нови активи'!$B$60:$B$107,$B47,'11.1.Амортиз.нови активи'!AA$60:AA$107))</f>
        <v>0</v>
      </c>
      <c r="N47" s="894">
        <f>$L47-SUMIF('11.2. Нови активи отч.год.'!$B$61:$B$108,$B47,'11.2. Нови активи отч.год.'!$L$61:$L$108)+SUMIF('11.2. Нови активи отч.год.'!$B$61:$B$108,$B47,'11.2. Нови активи отч.год.'!N$61:N$108)+SUMIF('11.1.Амортиз.нови активи'!$B$60:$B$107,$B47,'11.1.Амортиз.нови активи'!N$60:N$107)+('11.1.Амортиз.нови активи'!G$110*SUMIF('11.1.Амортиз.нови активи'!$B$60:$B$107,$B47,'11.1.Амортиз.нови активи'!AB$60:AB$107))</f>
        <v>0</v>
      </c>
      <c r="O47" s="894">
        <f>$L47-SUMIF('11.2. Нови активи отч.год.'!$B$61:$B$108,$B47,'11.2. Нови активи отч.год.'!$L$61:$L$108)+SUMIF('11.2. Нови активи отч.год.'!$B$61:$B$108,$B47,'11.2. Нови активи отч.год.'!O$61:O$108)+SUMIF('11.1.Амортиз.нови активи'!$B$60:$B$107,$B47,'11.1.Амортиз.нови активи'!O$60:O$107)+('11.1.Амортиз.нови активи'!H$110*SUMIF('11.1.Амортиз.нови активи'!$B$60:$B$107,$B47,'11.1.Амортиз.нови активи'!AC$60:AC$107))</f>
        <v>0</v>
      </c>
      <c r="P47" s="894">
        <f>$L47-SUMIF('11.2. Нови активи отч.год.'!$B$61:$B$108,$B47,'11.2. Нови активи отч.год.'!$L$61:$L$108)+SUMIF('11.2. Нови активи отч.год.'!$B$61:$B$108,$B47,'11.2. Нови активи отч.год.'!P$61:P$108)+SUMIF('11.1.Амортиз.нови активи'!$B$60:$B$107,$B47,'11.1.Амортиз.нови активи'!P$60:P$107)+('11.1.Амортиз.нови активи'!I$110*SUMIF('11.1.Амортиз.нови активи'!$B$60:$B$107,$B47,'11.1.Амортиз.нови активи'!AD$60:AD$107))</f>
        <v>0</v>
      </c>
      <c r="Q47" s="894">
        <f>$L47-SUMIF('11.2. Нови активи отч.год.'!$B$61:$B$108,$B47,'11.2. Нови активи отч.год.'!$L$61:$L$108)+SUMIF('11.2. Нови активи отч.год.'!$B$61:$B$108,$B47,'11.2. Нови активи отч.год.'!Q$61:Q$108)+SUMIF('11.1.Амортиз.нови активи'!$B$60:$B$107,$B47,'11.1.Амортиз.нови активи'!Q$60:Q$107)+('11.1.Амортиз.нови активи'!J$110*SUMIF('11.1.Амортиз.нови активи'!$B$60:$B$107,$B47,'11.1.Амортиз.нови активи'!AE$60:AE$107))</f>
        <v>0</v>
      </c>
      <c r="R47" s="895">
        <f>$L47-SUMIF('11.2. Нови активи отч.год.'!$B$61:$B$108,$B47,'11.2. Нови активи отч.год.'!$L$61:$L$108)+SUMIF('11.2. Нови активи отч.год.'!$B$61:$B$108,$B47,'11.2. Нови активи отч.год.'!R$61:R$108)+SUMIF('11.1.Амортиз.нови активи'!$B$60:$B$107,$B47,'11.1.Амортиз.нови активи'!R$60:R$107)+('11.1.Амортиз.нови активи'!K$110*SUMIF('11.1.Амортиз.нови активи'!$B$60:$B$107,$B47,'11.1.Амортиз.нови активи'!AF$60:AF$107))</f>
        <v>0</v>
      </c>
      <c r="S47" s="2246">
        <v>0</v>
      </c>
      <c r="T47" s="893">
        <f>$S47-SUMIF('11.2. Нови активи отч.год.'!$B$61:$B$108,$B47,'11.2. Нови активи отч.год.'!$S$61:$S$108)+SUMIF('11.2. Нови активи отч.год.'!$B$61:$B$108,$B47,'11.2. Нови активи отч.год.'!T$61:T$108)+SUMIF('11.1.Амортиз.нови активи'!$B$60:$B$107,$B47,'11.1.Амортиз.нови активи'!T$60:T$107)+('11.1.Амортиз.нови активи'!F$111*SUMIF('11.1.Амортиз.нови активи'!$B$60:$B$107,$B47,'11.1.Амортиз.нови активи'!AA$60:AA$107))</f>
        <v>0</v>
      </c>
      <c r="U47" s="894">
        <f>$S47-SUMIF('11.2. Нови активи отч.год.'!$B$61:$B$108,$B47,'11.2. Нови активи отч.год.'!$S$61:$S$108)+SUMIF('11.2. Нови активи отч.год.'!$B$61:$B$108,$B47,'11.2. Нови активи отч.год.'!U$61:U$108)+SUMIF('11.1.Амортиз.нови активи'!$B$60:$B$107,$B47,'11.1.Амортиз.нови активи'!U$60:U$107)+('11.1.Амортиз.нови активи'!G$111*SUMIF('11.1.Амортиз.нови активи'!$B$60:$B$107,$B47,'11.1.Амортиз.нови активи'!AB$60:AB$107))</f>
        <v>0</v>
      </c>
      <c r="V47" s="894">
        <f>$S47-SUMIF('11.2. Нови активи отч.год.'!$B$61:$B$108,$B47,'11.2. Нови активи отч.год.'!$S$61:$S$108)+SUMIF('11.2. Нови активи отч.год.'!$B$61:$B$108,$B47,'11.2. Нови активи отч.год.'!V$61:V$108)+SUMIF('11.1.Амортиз.нови активи'!$B$60:$B$107,$B47,'11.1.Амортиз.нови активи'!V$60:V$107)+('11.1.Амортиз.нови активи'!H$111*SUMIF('11.1.Амортиз.нови активи'!$B$60:$B$107,$B47,'11.1.Амортиз.нови активи'!AC$60:AC$107))</f>
        <v>0</v>
      </c>
      <c r="W47" s="894">
        <f>$S47-SUMIF('11.2. Нови активи отч.год.'!$B$61:$B$108,$B47,'11.2. Нови активи отч.год.'!$S$61:$S$108)+SUMIF('11.2. Нови активи отч.год.'!$B$61:$B$108,$B47,'11.2. Нови активи отч.год.'!W$61:W$108)+SUMIF('11.1.Амортиз.нови активи'!$B$60:$B$107,$B47,'11.1.Амортиз.нови активи'!W$60:W$107)+('11.1.Амортиз.нови активи'!I$111*SUMIF('11.1.Амортиз.нови активи'!$B$60:$B$107,$B47,'11.1.Амортиз.нови активи'!AD$60:AD$107))</f>
        <v>0</v>
      </c>
      <c r="X47" s="894">
        <f>$S47-SUMIF('11.2. Нови активи отч.год.'!$B$61:$B$108,$B47,'11.2. Нови активи отч.год.'!$S$61:$S$108)+SUMIF('11.2. Нови активи отч.год.'!$B$61:$B$108,$B47,'11.2. Нови активи отч.год.'!X$61:X$108)+SUMIF('11.1.Амортиз.нови активи'!$B$60:$B$107,$B47,'11.1.Амортиз.нови активи'!X$60:X$107)+('11.1.Амортиз.нови активи'!J$111*SUMIF('11.1.Амортиз.нови активи'!$B$60:$B$107,$B47,'11.1.Амортиз.нови активи'!AE$60:AE$107))</f>
        <v>0</v>
      </c>
      <c r="Y47" s="895">
        <f>$S47-SUMIF('11.2. Нови активи отч.год.'!$B$61:$B$108,$B47,'11.2. Нови активи отч.год.'!$S$61:$S$108)+SUMIF('11.2. Нови активи отч.год.'!$B$61:$B$108,$B47,'11.2. Нови активи отч.год.'!Y$61:Y$108)+SUMIF('11.1.Амортиз.нови активи'!$B$60:$B$107,$B47,'11.1.Амортиз.нови активи'!Y$60:Y$107)+('11.1.Амортиз.нови активи'!K$111*SUMIF('11.1.Амортиз.нови активи'!$B$60:$B$107,$B47,'11.1.Амортиз.нови активи'!AF$60:AF$107))</f>
        <v>0</v>
      </c>
      <c r="Z47" s="1672"/>
      <c r="AA47" s="1703"/>
    </row>
    <row r="48" spans="1:28">
      <c r="A48" s="1687">
        <v>6</v>
      </c>
      <c r="B48" s="1689">
        <v>208</v>
      </c>
      <c r="C48" s="1671">
        <v>0.2</v>
      </c>
      <c r="D48" s="1626" t="s">
        <v>585</v>
      </c>
      <c r="E48" s="2246">
        <v>20</v>
      </c>
      <c r="F48" s="893">
        <f>$E48-SUMIF('11.2. Нови активи отч.год.'!$B$61:$B$108,$B48,'11.2. Нови активи отч.год.'!$E$61:$E$108)+SUMIF('11.2. Нови активи отч.год.'!$B$61:$B$108,$B48,'11.2. Нови активи отч.год.'!F$61:F$108)+SUMIF('11.1.Амортиз.нови активи'!$B$60:$B$107,$B48,'11.1.Амортиз.нови активи'!F$60:F$107)+('11.1.Амортиз.нови активи'!F$109*SUMIF('11.1.Амортиз.нови активи'!$B$60:$B$107,$B48,'11.1.Амортиз.нови активи'!AA$60:AA$107))</f>
        <v>20.8</v>
      </c>
      <c r="G48" s="894">
        <f>$E48-SUMIF('11.2. Нови активи отч.год.'!$B$61:$B$108,$B48,'11.2. Нови активи отч.год.'!$E$61:$E$108)+SUMIF('11.2. Нови активи отч.год.'!$B$61:$B$108,$B48,'11.2. Нови активи отч.год.'!G$61:G$108)+SUMIF('11.1.Амортиз.нови активи'!$B$60:$B$107,$B48,'11.1.Амортиз.нови активи'!G$60:G$107)+('11.1.Амортиз.нови активи'!G$109*SUMIF('11.1.Амортиз.нови активи'!$B$60:$B$107,$B48,'11.1.Амортиз.нови активи'!AB$60:AB$107))</f>
        <v>20.8</v>
      </c>
      <c r="H48" s="894">
        <f>$E48-SUMIF('11.2. Нови активи отч.год.'!$B$61:$B$108,$B48,'11.2. Нови активи отч.год.'!$E$61:$E$108)+SUMIF('11.2. Нови активи отч.год.'!$B$61:$B$108,$B48,'11.2. Нови активи отч.год.'!H$61:H$108)+SUMIF('11.1.Амортиз.нови активи'!$B$60:$B$107,$B48,'11.1.Амортиз.нови активи'!H$60:H$107)+('11.1.Амортиз.нови активи'!H$109*SUMIF('11.1.Амортиз.нови активи'!$B$60:$B$107,$B48,'11.1.Амортиз.нови активи'!AC$60:AC$107))</f>
        <v>6.7999999999999989</v>
      </c>
      <c r="I48" s="894">
        <f>$E48-SUMIF('11.2. Нови активи отч.год.'!$B$61:$B$108,$B48,'11.2. Нови активи отч.год.'!$E$61:$E$108)+SUMIF('11.2. Нови активи отч.год.'!$B$61:$B$108,$B48,'11.2. Нови активи отч.год.'!I$61:I$108)+SUMIF('11.1.Амортиз.нови активи'!$B$60:$B$107,$B48,'11.1.Амортиз.нови активи'!I$60:I$107)+('11.1.Амортиз.нови активи'!I$109*SUMIF('11.1.Амортиз.нови активи'!$B$60:$B$107,$B48,'11.1.Амортиз.нови активи'!AD$60:AD$107))</f>
        <v>-0.19999999999999929</v>
      </c>
      <c r="J48" s="894">
        <f>$E48-SUMIF('11.2. Нови активи отч.год.'!$B$61:$B$108,$B48,'11.2. Нови активи отч.год.'!$E$61:$E$108)+SUMIF('11.2. Нови активи отч.год.'!$B$61:$B$108,$B48,'11.2. Нови активи отч.год.'!J$61:J$108)+SUMIF('11.1.Амортиз.нови активи'!$B$60:$B$107,$B48,'11.1.Амортиз.нови активи'!J$60:J$107)+('11.1.Амортиз.нови активи'!J$109*SUMIF('11.1.Амортиз.нови активи'!$B$60:$B$107,$B48,'11.1.Амортиз.нови активи'!AE$60:AE$107))</f>
        <v>-0.19999999999999929</v>
      </c>
      <c r="K48" s="895">
        <f>$E48-SUMIF('11.2. Нови активи отч.год.'!$B$61:$B$108,$B48,'11.2. Нови активи отч.год.'!$E$61:$E$108)+SUMIF('11.2. Нови активи отч.год.'!$B$61:$B$108,$B48,'11.2. Нови активи отч.год.'!K$61:K$108)+SUMIF('11.1.Амортиз.нови активи'!$B$60:$B$107,$B48,'11.1.Амортиз.нови активи'!K$60:K$107)+('11.1.Амортиз.нови активи'!K$109*SUMIF('11.1.Амортиз.нови активи'!$B$60:$B$107,$B48,'11.1.Амортиз.нови активи'!AF$60:AF$107))</f>
        <v>-0.19999999999999929</v>
      </c>
      <c r="L48" s="2246">
        <v>2</v>
      </c>
      <c r="M48" s="893">
        <f>$L48-SUMIF('11.2. Нови активи отч.год.'!$B$61:$B$108,$B48,'11.2. Нови активи отч.год.'!$L$61:$L$108)+SUMIF('11.2. Нови активи отч.год.'!$B$61:$B$108,$B48,'11.2. Нови активи отч.год.'!M$61:M$108)+SUMIF('11.1.Амортиз.нови активи'!$B$60:$B$107,$B48,'11.1.Амортиз.нови активи'!M$60:M$107)+('11.1.Амортиз.нови активи'!F$110*SUMIF('11.1.Амортиз.нови активи'!$B$60:$B$107,$B48,'11.1.Амортиз.нови активи'!AA$60:AA$107))</f>
        <v>1</v>
      </c>
      <c r="N48" s="894">
        <f>$L48-SUMIF('11.2. Нови активи отч.год.'!$B$61:$B$108,$B48,'11.2. Нови активи отч.год.'!$L$61:$L$108)+SUMIF('11.2. Нови активи отч.год.'!$B$61:$B$108,$B48,'11.2. Нови активи отч.год.'!N$61:N$108)+SUMIF('11.1.Амортиз.нови активи'!$B$60:$B$107,$B48,'11.1.Амортиз.нови активи'!N$60:N$107)+('11.1.Амортиз.нови активи'!G$110*SUMIF('11.1.Амортиз.нови активи'!$B$60:$B$107,$B48,'11.1.Амортиз.нови активи'!AB$60:AB$107))</f>
        <v>0</v>
      </c>
      <c r="O48" s="894">
        <f>$L48-SUMIF('11.2. Нови активи отч.год.'!$B$61:$B$108,$B48,'11.2. Нови активи отч.год.'!$L$61:$L$108)+SUMIF('11.2. Нови активи отч.год.'!$B$61:$B$108,$B48,'11.2. Нови активи отч.год.'!O$61:O$108)+SUMIF('11.1.Амортиз.нови активи'!$B$60:$B$107,$B48,'11.1.Амортиз.нови активи'!O$60:O$107)+('11.1.Амортиз.нови активи'!H$110*SUMIF('11.1.Амортиз.нови активи'!$B$60:$B$107,$B48,'11.1.Амортиз.нови активи'!AC$60:AC$107))</f>
        <v>0</v>
      </c>
      <c r="P48" s="894">
        <f>$L48-SUMIF('11.2. Нови активи отч.год.'!$B$61:$B$108,$B48,'11.2. Нови активи отч.год.'!$L$61:$L$108)+SUMIF('11.2. Нови активи отч.год.'!$B$61:$B$108,$B48,'11.2. Нови активи отч.год.'!P$61:P$108)+SUMIF('11.1.Амортиз.нови активи'!$B$60:$B$107,$B48,'11.1.Амортиз.нови активи'!P$60:P$107)+('11.1.Амортиз.нови активи'!I$110*SUMIF('11.1.Амортиз.нови активи'!$B$60:$B$107,$B48,'11.1.Амортиз.нови активи'!AD$60:AD$107))</f>
        <v>0</v>
      </c>
      <c r="Q48" s="894">
        <f>$L48-SUMIF('11.2. Нови активи отч.год.'!$B$61:$B$108,$B48,'11.2. Нови активи отч.год.'!$L$61:$L$108)+SUMIF('11.2. Нови активи отч.год.'!$B$61:$B$108,$B48,'11.2. Нови активи отч.год.'!Q$61:Q$108)+SUMIF('11.1.Амортиз.нови активи'!$B$60:$B$107,$B48,'11.1.Амортиз.нови активи'!Q$60:Q$107)+('11.1.Амортиз.нови активи'!J$110*SUMIF('11.1.Амортиз.нови активи'!$B$60:$B$107,$B48,'11.1.Амортиз.нови активи'!AE$60:AE$107))</f>
        <v>0</v>
      </c>
      <c r="R48" s="895">
        <f>$L48-SUMIF('11.2. Нови активи отч.год.'!$B$61:$B$108,$B48,'11.2. Нови активи отч.год.'!$L$61:$L$108)+SUMIF('11.2. Нови активи отч.год.'!$B$61:$B$108,$B48,'11.2. Нови активи отч.год.'!R$61:R$108)+SUMIF('11.1.Амортиз.нови активи'!$B$60:$B$107,$B48,'11.1.Амортиз.нови активи'!R$60:R$107)+('11.1.Амортиз.нови активи'!K$110*SUMIF('11.1.Амортиз.нови активи'!$B$60:$B$107,$B48,'11.1.Амортиз.нови активи'!AF$60:AF$107))</f>
        <v>0</v>
      </c>
      <c r="S48" s="2246">
        <v>0</v>
      </c>
      <c r="T48" s="893">
        <f>$S48-SUMIF('11.2. Нови активи отч.год.'!$B$61:$B$108,$B48,'11.2. Нови активи отч.год.'!$S$61:$S$108)+SUMIF('11.2. Нови активи отч.год.'!$B$61:$B$108,$B48,'11.2. Нови активи отч.год.'!T$61:T$108)+SUMIF('11.1.Амортиз.нови активи'!$B$60:$B$107,$B48,'11.1.Амортиз.нови активи'!T$60:T$107)+('11.1.Амортиз.нови активи'!F$111*SUMIF('11.1.Амортиз.нови активи'!$B$60:$B$107,$B48,'11.1.Амортиз.нови активи'!AA$60:AA$107))</f>
        <v>0.4</v>
      </c>
      <c r="U48" s="894">
        <f>$S48-SUMIF('11.2. Нови активи отч.год.'!$B$61:$B$108,$B48,'11.2. Нови активи отч.год.'!$S$61:$S$108)+SUMIF('11.2. Нови активи отч.год.'!$B$61:$B$108,$B48,'11.2. Нови активи отч.год.'!U$61:U$108)+SUMIF('11.1.Амортиз.нови активи'!$B$60:$B$107,$B48,'11.1.Амортиз.нови активи'!U$60:U$107)+('11.1.Амортиз.нови активи'!G$111*SUMIF('11.1.Амортиз.нови активи'!$B$60:$B$107,$B48,'11.1.Амортиз.нови активи'!AB$60:AB$107))</f>
        <v>0.4</v>
      </c>
      <c r="V48" s="894">
        <f>$S48-SUMIF('11.2. Нови активи отч.год.'!$B$61:$B$108,$B48,'11.2. Нови активи отч.год.'!$S$61:$S$108)+SUMIF('11.2. Нови активи отч.год.'!$B$61:$B$108,$B48,'11.2. Нови активи отч.год.'!V$61:V$108)+SUMIF('11.1.Амортиз.нови активи'!$B$60:$B$107,$B48,'11.1.Амортиз.нови активи'!V$60:V$107)+('11.1.Амортиз.нови активи'!H$111*SUMIF('11.1.Амортиз.нови активи'!$B$60:$B$107,$B48,'11.1.Амортиз.нови активи'!AC$60:AC$107))</f>
        <v>0.4</v>
      </c>
      <c r="W48" s="894">
        <f>$S48-SUMIF('11.2. Нови активи отч.год.'!$B$61:$B$108,$B48,'11.2. Нови активи отч.год.'!$S$61:$S$108)+SUMIF('11.2. Нови активи отч.год.'!$B$61:$B$108,$B48,'11.2. Нови активи отч.год.'!W$61:W$108)+SUMIF('11.1.Амортиз.нови активи'!$B$60:$B$107,$B48,'11.1.Амортиз.нови активи'!W$60:W$107)+('11.1.Амортиз.нови активи'!I$111*SUMIF('11.1.Амортиз.нови активи'!$B$60:$B$107,$B48,'11.1.Амортиз.нови активи'!AD$60:AD$107))</f>
        <v>0.4</v>
      </c>
      <c r="X48" s="894">
        <f>$S48-SUMIF('11.2. Нови активи отч.год.'!$B$61:$B$108,$B48,'11.2. Нови активи отч.год.'!$S$61:$S$108)+SUMIF('11.2. Нови активи отч.год.'!$B$61:$B$108,$B48,'11.2. Нови активи отч.год.'!X$61:X$108)+SUMIF('11.1.Амортиз.нови активи'!$B$60:$B$107,$B48,'11.1.Амортиз.нови активи'!X$60:X$107)+('11.1.Амортиз.нови активи'!J$111*SUMIF('11.1.Амортиз.нови активи'!$B$60:$B$107,$B48,'11.1.Амортиз.нови активи'!AE$60:AE$107))</f>
        <v>0.4</v>
      </c>
      <c r="Y48" s="895">
        <f>$S48-SUMIF('11.2. Нови активи отч.год.'!$B$61:$B$108,$B48,'11.2. Нови активи отч.год.'!$S$61:$S$108)+SUMIF('11.2. Нови активи отч.год.'!$B$61:$B$108,$B48,'11.2. Нови активи отч.год.'!Y$61:Y$108)+SUMIF('11.1.Амортиз.нови активи'!$B$60:$B$107,$B48,'11.1.Амортиз.нови активи'!Y$60:Y$107)+('11.1.Амортиз.нови активи'!K$111*SUMIF('11.1.Амортиз.нови активи'!$B$60:$B$107,$B48,'11.1.Амортиз.нови активи'!AF$60:AF$107))</f>
        <v>0.4</v>
      </c>
      <c r="Z48" s="1672"/>
      <c r="AA48" s="1703"/>
    </row>
    <row r="49" spans="1:28">
      <c r="A49" s="1687">
        <v>7</v>
      </c>
      <c r="B49" s="1689">
        <v>20601</v>
      </c>
      <c r="C49" s="1680">
        <v>0.1</v>
      </c>
      <c r="D49" s="1626" t="s">
        <v>766</v>
      </c>
      <c r="E49" s="2246">
        <v>12</v>
      </c>
      <c r="F49" s="893">
        <f>$E49-SUMIF('11.2. Нови активи отч.год.'!$B$61:$B$108,$B49,'11.2. Нови активи отч.год.'!$E$61:$E$108)+SUMIF('11.2. Нови активи отч.год.'!$B$61:$B$108,$B49,'11.2. Нови активи отч.год.'!F$61:F$108)+SUMIF('11.1.Амортиз.нови активи'!$B$60:$B$107,$B49,'11.1.Амортиз.нови активи'!F$60:F$107)+('11.1.Амортиз.нови активи'!F$109*SUMIF('11.1.Амортиз.нови активи'!$B$60:$B$107,$B49,'11.1.Амортиз.нови активи'!AA$60:AA$107))</f>
        <v>18.013799694189604</v>
      </c>
      <c r="G49" s="894">
        <f>$E49-SUMIF('11.2. Нови активи отч.год.'!$B$61:$B$108,$B49,'11.2. Нови активи отч.год.'!$E$61:$E$108)+SUMIF('11.2. Нови активи отч.год.'!$B$61:$B$108,$B49,'11.2. Нови активи отч.год.'!G$61:G$108)+SUMIF('11.1.Амортиз.нови активи'!$B$60:$B$107,$B49,'11.1.Амортиз.нови активи'!G$60:G$107)+('11.1.Амортиз.нови активи'!G$109*SUMIF('11.1.Амортиз.нови активи'!$B$60:$B$107,$B49,'11.1.Амортиз.нови активи'!AB$60:AB$107))</f>
        <v>22.95935876314789</v>
      </c>
      <c r="H49" s="894">
        <f>$E49-SUMIF('11.2. Нови активи отч.год.'!$B$61:$B$108,$B49,'11.2. Нови активи отч.год.'!$E$61:$E$108)+SUMIF('11.2. Нови активи отч.год.'!$B$61:$B$108,$B49,'11.2. Нови активи отч.год.'!H$61:H$108)+SUMIF('11.1.Амортиз.нови активи'!$B$60:$B$107,$B49,'11.1.Амортиз.нови активи'!H$60:H$107)+('11.1.Амортиз.нови активи'!H$109*SUMIF('11.1.Амортиз.нови активи'!$B$60:$B$107,$B49,'11.1.Амортиз.нови активи'!AC$60:AC$107))</f>
        <v>25.853006724717652</v>
      </c>
      <c r="I49" s="894">
        <f>$E49-SUMIF('11.2. Нови активи отч.год.'!$B$61:$B$108,$B49,'11.2. Нови активи отч.год.'!$E$61:$E$108)+SUMIF('11.2. Нови активи отч.год.'!$B$61:$B$108,$B49,'11.2. Нови активи отч.год.'!I$61:I$108)+SUMIF('11.1.Амортиз.нови активи'!$B$60:$B$107,$B49,'11.1.Амортиз.нови активи'!I$60:I$107)+('11.1.Амортиз.нови активи'!I$109*SUMIF('11.1.Амортиз.нови активи'!$B$60:$B$107,$B49,'11.1.Амортиз.нови активи'!AD$60:AD$107))</f>
        <v>30.42319993965225</v>
      </c>
      <c r="J49" s="894">
        <f>$E49-SUMIF('11.2. Нови активи отч.год.'!$B$61:$B$108,$B49,'11.2. Нови активи отч.год.'!$E$61:$E$108)+SUMIF('11.2. Нови активи отч.год.'!$B$61:$B$108,$B49,'11.2. Нови активи отч.год.'!J$61:J$108)+SUMIF('11.1.Амортиз.нови активи'!$B$60:$B$107,$B49,'11.1.Амортиз.нови активи'!J$60:J$107)+('11.1.Амортиз.нови активи'!J$109*SUMIF('11.1.Амортиз.нови активи'!$B$60:$B$107,$B49,'11.1.Амортиз.нови активи'!AE$60:AE$107))</f>
        <v>35.714789406787034</v>
      </c>
      <c r="K49" s="895">
        <f>$E49-SUMIF('11.2. Нови активи отч.год.'!$B$61:$B$108,$B49,'11.2. Нови активи отч.год.'!$E$61:$E$108)+SUMIF('11.2. Нови активи отч.год.'!$B$61:$B$108,$B49,'11.2. Нови активи отч.год.'!K$61:K$108)+SUMIF('11.1.Амортиз.нови активи'!$B$60:$B$107,$B49,'11.1.Амортиз.нови активи'!K$60:K$107)+('11.1.Амортиз.нови активи'!K$109*SUMIF('11.1.Амортиз.нови активи'!$B$60:$B$107,$B49,'11.1.Амортиз.нови активи'!AF$60:AF$107))</f>
        <v>34.753810431637092</v>
      </c>
      <c r="L49" s="2246">
        <v>0</v>
      </c>
      <c r="M49" s="893">
        <f>$L49-SUMIF('11.2. Нови активи отч.год.'!$B$61:$B$108,$B49,'11.2. Нови активи отч.год.'!$L$61:$L$108)+SUMIF('11.2. Нови активи отч.год.'!$B$61:$B$108,$B49,'11.2. Нови активи отч.год.'!M$61:M$108)+SUMIF('11.1.Амортиз.нови активи'!$B$60:$B$107,$B49,'11.1.Амортиз.нови активи'!M$60:M$107)+('11.1.Амортиз.нови активи'!F$110*SUMIF('11.1.Амортиз.нови активи'!$B$60:$B$107,$B49,'11.1.Амортиз.нови активи'!AA$60:AA$107))</f>
        <v>2.3126911314984712E-2</v>
      </c>
      <c r="N49" s="894">
        <f>$L49-SUMIF('11.2. Нови активи отч.год.'!$B$61:$B$108,$B49,'11.2. Нови активи отч.год.'!$L$61:$L$108)+SUMIF('11.2. Нови активи отч.год.'!$B$61:$B$108,$B49,'11.2. Нови активи отч.год.'!N$61:N$108)+SUMIF('11.1.Амортиз.нови активи'!$B$60:$B$107,$B49,'11.1.Амортиз.нови активи'!N$60:N$107)+('11.1.Амортиз.нови активи'!G$110*SUMIF('11.1.Амортиз.нови активи'!$B$60:$B$107,$B49,'11.1.Амортиз.нови активи'!AB$60:AB$107))</f>
        <v>3.3468001520719812</v>
      </c>
      <c r="O49" s="894">
        <f>$L49-SUMIF('11.2. Нови активи отч.год.'!$B$61:$B$108,$B49,'11.2. Нови активи отч.год.'!$L$61:$L$108)+SUMIF('11.2. Нови активи отч.год.'!$B$61:$B$108,$B49,'11.2. Нови активи отч.год.'!O$61:O$108)+SUMIF('11.1.Амортиз.нови активи'!$B$60:$B$107,$B49,'11.1.Амортиз.нови активи'!O$60:O$107)+('11.1.Амортиз.нови активи'!H$110*SUMIF('11.1.Амортиз.нови активи'!$B$60:$B$107,$B49,'11.1.Амортиз.нови активи'!AC$60:AC$107))</f>
        <v>7.2790477627381662</v>
      </c>
      <c r="P49" s="894">
        <f>$L49-SUMIF('11.2. Нови активи отч.год.'!$B$61:$B$108,$B49,'11.2. Нови активи отч.год.'!$L$61:$L$108)+SUMIF('11.2. Нови активи отч.год.'!$B$61:$B$108,$B49,'11.2. Нови активи отч.год.'!P$61:P$108)+SUMIF('11.1.Амортиз.нови активи'!$B$60:$B$107,$B49,'11.1.Амортиз.нови активи'!P$60:P$107)+('11.1.Амортиз.нови активи'!I$110*SUMIF('11.1.Амортиз.нови активи'!$B$60:$B$107,$B49,'11.1.Амортиз.нови активи'!AD$60:AD$107))</f>
        <v>8.6735412816354245</v>
      </c>
      <c r="Q49" s="894">
        <f>$L49-SUMIF('11.2. Нови активи отч.год.'!$B$61:$B$108,$B49,'11.2. Нови активи отч.год.'!$L$61:$L$108)+SUMIF('11.2. Нови активи отч.год.'!$B$61:$B$108,$B49,'11.2. Нови активи отч.год.'!Q$61:Q$108)+SUMIF('11.1.Амортиз.нови активи'!$B$60:$B$107,$B49,'11.1.Амортиз.нови активи'!Q$60:Q$107)+('11.1.Амортиз.нови активи'!J$110*SUMIF('11.1.Амортиз.нови активи'!$B$60:$B$107,$B49,'11.1.Амортиз.нови активи'!AE$60:AE$107))</f>
        <v>10.250171504187486</v>
      </c>
      <c r="R49" s="895">
        <f>$L49-SUMIF('11.2. Нови активи отч.год.'!$B$61:$B$108,$B49,'11.2. Нови активи отч.год.'!$L$61:$L$108)+SUMIF('11.2. Нови активи отч.год.'!$B$61:$B$108,$B49,'11.2. Нови активи отч.год.'!R$61:R$108)+SUMIF('11.1.Амортиз.нови активи'!$B$60:$B$107,$B49,'11.1.Амортиз.нови активи'!R$60:R$107)+('11.1.Амортиз.нови активи'!K$110*SUMIF('11.1.Амортиз.нови активи'!$B$60:$B$107,$B49,'11.1.Амортиз.нови активи'!AF$60:AF$107))</f>
        <v>11.976467712763355</v>
      </c>
      <c r="S49" s="2246">
        <v>1</v>
      </c>
      <c r="T49" s="893">
        <f>$S49-SUMIF('11.2. Нови активи отч.год.'!$B$61:$B$108,$B49,'11.2. Нови активи отч.год.'!$S$61:$S$108)+SUMIF('11.2. Нови активи отч.год.'!$B$61:$B$108,$B49,'11.2. Нови активи отч.год.'!T$61:T$108)+SUMIF('11.1.Амортиз.нови активи'!$B$60:$B$107,$B49,'11.1.Амортиз.нови активи'!T$60:T$107)+('11.1.Амортиз.нови активи'!F$111*SUMIF('11.1.Амортиз.нови активи'!$B$60:$B$107,$B49,'11.1.Амортиз.нови активи'!AA$60:AA$107))</f>
        <v>1.363073394495413</v>
      </c>
      <c r="U49" s="894">
        <f>$S49-SUMIF('11.2. Нови активи отч.год.'!$B$61:$B$108,$B49,'11.2. Нови активи отч.год.'!$S$61:$S$108)+SUMIF('11.2. Нови активи отч.год.'!$B$61:$B$108,$B49,'11.2. Нови активи отч.год.'!U$61:U$108)+SUMIF('11.1.Амортиз.нови активи'!$B$60:$B$107,$B49,'11.1.Амортиз.нови активи'!U$60:U$107)+('11.1.Амортиз.нови активи'!G$111*SUMIF('11.1.Амортиз.нови активи'!$B$60:$B$107,$B49,'11.1.Амортиз.нови активи'!AB$60:AB$107))</f>
        <v>0.49384108478012934</v>
      </c>
      <c r="V49" s="894">
        <f>$S49-SUMIF('11.2. Нови активи отч.год.'!$B$61:$B$108,$B49,'11.2. Нови активи отч.год.'!$S$61:$S$108)+SUMIF('11.2. Нови активи отч.год.'!$B$61:$B$108,$B49,'11.2. Нови активи отч.год.'!V$61:V$108)+SUMIF('11.1.Амортиз.нови активи'!$B$60:$B$107,$B49,'11.1.Амортиз.нови активи'!V$60:V$107)+('11.1.Амортиз.нови активи'!H$111*SUMIF('11.1.Амортиз.нови активи'!$B$60:$B$107,$B49,'11.1.Амортиз.нови активи'!AC$60:AC$107))</f>
        <v>0.41794551254418488</v>
      </c>
      <c r="W49" s="894">
        <f>$S49-SUMIF('11.2. Нови активи отч.год.'!$B$61:$B$108,$B49,'11.2. Нови активи отч.год.'!$S$61:$S$108)+SUMIF('11.2. Нови активи отч.год.'!$B$61:$B$108,$B49,'11.2. Нови активи отч.год.'!W$61:W$108)+SUMIF('11.1.Амортиз.нови активи'!$B$60:$B$107,$B49,'11.1.Амортиз.нови активи'!W$60:W$107)+('11.1.Амортиз.нови активи'!I$111*SUMIF('11.1.Амортиз.нови активи'!$B$60:$B$107,$B49,'11.1.Амортиз.нови активи'!AD$60:AD$107))</f>
        <v>1.7032587787123303</v>
      </c>
      <c r="X49" s="894">
        <f>$S49-SUMIF('11.2. Нови активи отч.год.'!$B$61:$B$108,$B49,'11.2. Нови активи отч.год.'!$S$61:$S$108)+SUMIF('11.2. Нови активи отч.год.'!$B$61:$B$108,$B49,'11.2. Нови активи отч.год.'!X$61:X$108)+SUMIF('11.1.Амортиз.нови активи'!$B$60:$B$107,$B49,'11.1.Амортиз.нови активи'!X$60:X$107)+('11.1.Амортиз.нови активи'!J$111*SUMIF('11.1.Амортиз.нови активи'!$B$60:$B$107,$B49,'11.1.Амортиз.нови активи'!AE$60:AE$107))</f>
        <v>2.3350390890254724</v>
      </c>
      <c r="Y49" s="895">
        <f>$S49-SUMIF('11.2. Нови активи отч.год.'!$B$61:$B$108,$B49,'11.2. Нови активи отч.год.'!$S$61:$S$108)+SUMIF('11.2. Нови активи отч.год.'!$B$61:$B$108,$B49,'11.2. Нови активи отч.год.'!Y$61:Y$108)+SUMIF('11.1.Амортиз.нови активи'!$B$60:$B$107,$B49,'11.1.Амортиз.нови активи'!Y$60:Y$107)+('11.1.Амортиз.нови активи'!K$111*SUMIF('11.1.Амортиз.нови активи'!$B$60:$B$107,$B49,'11.1.Амортиз.нови активи'!AF$60:AF$107))</f>
        <v>3.0697218555995498</v>
      </c>
      <c r="Z49" s="1672"/>
      <c r="AA49" s="1703"/>
    </row>
    <row r="50" spans="1:28">
      <c r="A50" s="1690">
        <v>8</v>
      </c>
      <c r="B50" s="1689">
        <v>20602</v>
      </c>
      <c r="C50" s="1680">
        <v>0.1</v>
      </c>
      <c r="D50" s="1626" t="s">
        <v>607</v>
      </c>
      <c r="E50" s="2246">
        <v>5</v>
      </c>
      <c r="F50" s="893">
        <f>$E50-SUMIF('11.2. Нови активи отч.год.'!$B$61:$B$108,$B50,'11.2. Нови активи отч.год.'!$E$61:$E$108)+SUMIF('11.2. Нови активи отч.год.'!$B$61:$B$108,$B50,'11.2. Нови активи отч.год.'!F$61:F$108)+SUMIF('11.1.Амортиз.нови активи'!$B$60:$B$107,$B50,'11.1.Амортиз.нови активи'!F$60:F$107)+('11.1.Амортиз.нови активи'!F$109*SUMIF('11.1.Амортиз.нови активи'!$B$60:$B$107,$B50,'11.1.Амортиз.нови активи'!AA$60:AA$107))</f>
        <v>5.2</v>
      </c>
      <c r="G50" s="894">
        <f>$E50-SUMIF('11.2. Нови активи отч.год.'!$B$61:$B$108,$B50,'11.2. Нови активи отч.год.'!$E$61:$E$108)+SUMIF('11.2. Нови активи отч.год.'!$B$61:$B$108,$B50,'11.2. Нови активи отч.год.'!G$61:G$108)+SUMIF('11.1.Амортиз.нови активи'!$B$60:$B$107,$B50,'11.1.Амортиз.нови активи'!G$60:G$107)+('11.1.Амортиз.нови активи'!G$109*SUMIF('11.1.Амортиз.нови активи'!$B$60:$B$107,$B50,'11.1.Амортиз.нови активи'!AB$60:AB$107))</f>
        <v>5.2</v>
      </c>
      <c r="H50" s="894">
        <f>$E50-SUMIF('11.2. Нови активи отч.год.'!$B$61:$B$108,$B50,'11.2. Нови активи отч.год.'!$E$61:$E$108)+SUMIF('11.2. Нови активи отч.год.'!$B$61:$B$108,$B50,'11.2. Нови активи отч.год.'!H$61:H$108)+SUMIF('11.1.Амортиз.нови активи'!$B$60:$B$107,$B50,'11.1.Амортиз.нови активи'!H$60:H$107)+('11.1.Амортиз.нови активи'!H$109*SUMIF('11.1.Амортиз.нови активи'!$B$60:$B$107,$B50,'11.1.Амортиз.нови активи'!AC$60:AC$107))</f>
        <v>5.2</v>
      </c>
      <c r="I50" s="894">
        <f>$E50-SUMIF('11.2. Нови активи отч.год.'!$B$61:$B$108,$B50,'11.2. Нови активи отч.год.'!$E$61:$E$108)+SUMIF('11.2. Нови активи отч.год.'!$B$61:$B$108,$B50,'11.2. Нови активи отч.год.'!I$61:I$108)+SUMIF('11.1.Амортиз.нови активи'!$B$60:$B$107,$B50,'11.1.Амортиз.нови активи'!I$60:I$107)+('11.1.Амортиз.нови активи'!I$109*SUMIF('11.1.Амортиз.нови активи'!$B$60:$B$107,$B50,'11.1.Амортиз.нови активи'!AD$60:AD$107))</f>
        <v>5.2</v>
      </c>
      <c r="J50" s="894">
        <f>$E50-SUMIF('11.2. Нови активи отч.год.'!$B$61:$B$108,$B50,'11.2. Нови активи отч.год.'!$E$61:$E$108)+SUMIF('11.2. Нови активи отч.год.'!$B$61:$B$108,$B50,'11.2. Нови активи отч.год.'!J$61:J$108)+SUMIF('11.1.Амортиз.нови активи'!$B$60:$B$107,$B50,'11.1.Амортиз.нови активи'!J$60:J$107)+('11.1.Амортиз.нови активи'!J$109*SUMIF('11.1.Амортиз.нови активи'!$B$60:$B$107,$B50,'11.1.Амортиз.нови активи'!AE$60:AE$107))</f>
        <v>4.2</v>
      </c>
      <c r="K50" s="895">
        <f>$E50-SUMIF('11.2. Нови активи отч.год.'!$B$61:$B$108,$B50,'11.2. Нови активи отч.год.'!$E$61:$E$108)+SUMIF('11.2. Нови активи отч.год.'!$B$61:$B$108,$B50,'11.2. Нови активи отч.год.'!K$61:K$108)+SUMIF('11.1.Амортиз.нови активи'!$B$60:$B$107,$B50,'11.1.Амортиз.нови активи'!K$60:K$107)+('11.1.Амортиз.нови активи'!K$109*SUMIF('11.1.Амортиз.нови активи'!$B$60:$B$107,$B50,'11.1.Амортиз.нови активи'!AF$60:AF$107))</f>
        <v>0.20000000000000018</v>
      </c>
      <c r="L50" s="2246">
        <v>0</v>
      </c>
      <c r="M50" s="893">
        <f>$L50-SUMIF('11.2. Нови активи отч.год.'!$B$61:$B$108,$B50,'11.2. Нови активи отч.год.'!$L$61:$L$108)+SUMIF('11.2. Нови активи отч.год.'!$B$61:$B$108,$B50,'11.2. Нови активи отч.год.'!M$61:M$108)+SUMIF('11.1.Амортиз.нови активи'!$B$60:$B$107,$B50,'11.1.Амортиз.нови активи'!M$60:M$107)+('11.1.Амортиз.нови активи'!F$110*SUMIF('11.1.Амортиз.нови активи'!$B$60:$B$107,$B50,'11.1.Амортиз.нови активи'!AA$60:AA$107))</f>
        <v>0</v>
      </c>
      <c r="N50" s="894">
        <f>$L50-SUMIF('11.2. Нови активи отч.год.'!$B$61:$B$108,$B50,'11.2. Нови активи отч.год.'!$L$61:$L$108)+SUMIF('11.2. Нови активи отч.год.'!$B$61:$B$108,$B50,'11.2. Нови активи отч.год.'!N$61:N$108)+SUMIF('11.1.Амортиз.нови активи'!$B$60:$B$107,$B50,'11.1.Амортиз.нови активи'!N$60:N$107)+('11.1.Амортиз.нови активи'!G$110*SUMIF('11.1.Амортиз.нови активи'!$B$60:$B$107,$B50,'11.1.Амортиз.нови активи'!AB$60:AB$107))</f>
        <v>0</v>
      </c>
      <c r="O50" s="894">
        <f>$L50-SUMIF('11.2. Нови активи отч.год.'!$B$61:$B$108,$B50,'11.2. Нови активи отч.год.'!$L$61:$L$108)+SUMIF('11.2. Нови активи отч.год.'!$B$61:$B$108,$B50,'11.2. Нови активи отч.год.'!O$61:O$108)+SUMIF('11.1.Амортиз.нови активи'!$B$60:$B$107,$B50,'11.1.Амортиз.нови активи'!O$60:O$107)+('11.1.Амортиз.нови активи'!H$110*SUMIF('11.1.Амортиз.нови активи'!$B$60:$B$107,$B50,'11.1.Амортиз.нови активи'!AC$60:AC$107))</f>
        <v>0</v>
      </c>
      <c r="P50" s="894">
        <f>$L50-SUMIF('11.2. Нови активи отч.год.'!$B$61:$B$108,$B50,'11.2. Нови активи отч.год.'!$L$61:$L$108)+SUMIF('11.2. Нови активи отч.год.'!$B$61:$B$108,$B50,'11.2. Нови активи отч.год.'!P$61:P$108)+SUMIF('11.1.Амортиз.нови активи'!$B$60:$B$107,$B50,'11.1.Амортиз.нови активи'!P$60:P$107)+('11.1.Амортиз.нови активи'!I$110*SUMIF('11.1.Амортиз.нови активи'!$B$60:$B$107,$B50,'11.1.Амортиз.нови активи'!AD$60:AD$107))</f>
        <v>0</v>
      </c>
      <c r="Q50" s="894">
        <f>$L50-SUMIF('11.2. Нови активи отч.год.'!$B$61:$B$108,$B50,'11.2. Нови активи отч.год.'!$L$61:$L$108)+SUMIF('11.2. Нови активи отч.год.'!$B$61:$B$108,$B50,'11.2. Нови активи отч.год.'!Q$61:Q$108)+SUMIF('11.1.Амортиз.нови активи'!$B$60:$B$107,$B50,'11.1.Амортиз.нови активи'!Q$60:Q$107)+('11.1.Амортиз.нови активи'!J$110*SUMIF('11.1.Амортиз.нови активи'!$B$60:$B$107,$B50,'11.1.Амортиз.нови активи'!AE$60:AE$107))</f>
        <v>0</v>
      </c>
      <c r="R50" s="895">
        <f>$L50-SUMIF('11.2. Нови активи отч.год.'!$B$61:$B$108,$B50,'11.2. Нови активи отч.год.'!$L$61:$L$108)+SUMIF('11.2. Нови активи отч.год.'!$B$61:$B$108,$B50,'11.2. Нови активи отч.год.'!R$61:R$108)+SUMIF('11.1.Амортиз.нови активи'!$B$60:$B$107,$B50,'11.1.Амортиз.нови активи'!R$60:R$107)+('11.1.Амортиз.нови активи'!K$110*SUMIF('11.1.Амортиз.нови активи'!$B$60:$B$107,$B50,'11.1.Амортиз.нови активи'!AF$60:AF$107))</f>
        <v>0</v>
      </c>
      <c r="S50" s="2246">
        <v>1</v>
      </c>
      <c r="T50" s="893">
        <f>$S50-SUMIF('11.2. Нови активи отч.год.'!$B$61:$B$108,$B50,'11.2. Нови активи отч.год.'!$S$61:$S$108)+SUMIF('11.2. Нови активи отч.год.'!$B$61:$B$108,$B50,'11.2. Нови активи отч.год.'!T$61:T$108)+SUMIF('11.1.Амортиз.нови активи'!$B$60:$B$107,$B50,'11.1.Амортиз.нови активи'!T$60:T$107)+('11.1.Амортиз.нови активи'!F$111*SUMIF('11.1.Амортиз.нови активи'!$B$60:$B$107,$B50,'11.1.Амортиз.нови активи'!AA$60:AA$107))</f>
        <v>1</v>
      </c>
      <c r="U50" s="894">
        <f>$S50-SUMIF('11.2. Нови активи отч.год.'!$B$61:$B$108,$B50,'11.2. Нови активи отч.год.'!$S$61:$S$108)+SUMIF('11.2. Нови активи отч.год.'!$B$61:$B$108,$B50,'11.2. Нови активи отч.год.'!U$61:U$108)+SUMIF('11.1.Амортиз.нови активи'!$B$60:$B$107,$B50,'11.1.Амортиз.нови активи'!U$60:U$107)+('11.1.Амортиз.нови активи'!G$111*SUMIF('11.1.Амортиз.нови активи'!$B$60:$B$107,$B50,'11.1.Амортиз.нови активи'!AB$60:AB$107))</f>
        <v>0</v>
      </c>
      <c r="V50" s="894">
        <f>$S50-SUMIF('11.2. Нови активи отч.год.'!$B$61:$B$108,$B50,'11.2. Нови активи отч.год.'!$S$61:$S$108)+SUMIF('11.2. Нови активи отч.год.'!$B$61:$B$108,$B50,'11.2. Нови активи отч.год.'!V$61:V$108)+SUMIF('11.1.Амортиз.нови активи'!$B$60:$B$107,$B50,'11.1.Амортиз.нови активи'!V$60:V$107)+('11.1.Амортиз.нови активи'!H$111*SUMIF('11.1.Амортиз.нови активи'!$B$60:$B$107,$B50,'11.1.Амортиз.нови активи'!AC$60:AC$107))</f>
        <v>0</v>
      </c>
      <c r="W50" s="894">
        <f>$S50-SUMIF('11.2. Нови активи отч.год.'!$B$61:$B$108,$B50,'11.2. Нови активи отч.год.'!$S$61:$S$108)+SUMIF('11.2. Нови активи отч.год.'!$B$61:$B$108,$B50,'11.2. Нови активи отч.год.'!W$61:W$108)+SUMIF('11.1.Амортиз.нови активи'!$B$60:$B$107,$B50,'11.1.Амортиз.нови активи'!W$60:W$107)+('11.1.Амортиз.нови активи'!I$111*SUMIF('11.1.Амортиз.нови активи'!$B$60:$B$107,$B50,'11.1.Амортиз.нови активи'!AD$60:AD$107))</f>
        <v>0</v>
      </c>
      <c r="X50" s="894">
        <f>$S50-SUMIF('11.2. Нови активи отч.год.'!$B$61:$B$108,$B50,'11.2. Нови активи отч.год.'!$S$61:$S$108)+SUMIF('11.2. Нови активи отч.год.'!$B$61:$B$108,$B50,'11.2. Нови активи отч.год.'!X$61:X$108)+SUMIF('11.1.Амортиз.нови активи'!$B$60:$B$107,$B50,'11.1.Амортиз.нови активи'!X$60:X$107)+('11.1.Амортиз.нови активи'!J$111*SUMIF('11.1.Амортиз.нови активи'!$B$60:$B$107,$B50,'11.1.Амортиз.нови активи'!AE$60:AE$107))</f>
        <v>0</v>
      </c>
      <c r="Y50" s="895">
        <f>$S50-SUMIF('11.2. Нови активи отч.год.'!$B$61:$B$108,$B50,'11.2. Нови активи отч.год.'!$S$61:$S$108)+SUMIF('11.2. Нови активи отч.год.'!$B$61:$B$108,$B50,'11.2. Нови активи отч.год.'!Y$61:Y$108)+SUMIF('11.1.Амортиз.нови активи'!$B$60:$B$107,$B50,'11.1.Амортиз.нови активи'!Y$60:Y$107)+('11.1.Амортиз.нови активи'!K$111*SUMIF('11.1.Амортиз.нови активи'!$B$60:$B$107,$B50,'11.1.Амортиз.нови активи'!AF$60:AF$107))</f>
        <v>0</v>
      </c>
      <c r="Z50" s="1672"/>
      <c r="AA50" s="1703"/>
    </row>
    <row r="51" spans="1:28">
      <c r="A51" s="1690">
        <v>9</v>
      </c>
      <c r="B51" s="1688">
        <v>20603</v>
      </c>
      <c r="C51" s="1680">
        <v>0.5</v>
      </c>
      <c r="D51" s="1626" t="s">
        <v>1441</v>
      </c>
      <c r="E51" s="2246">
        <v>0</v>
      </c>
      <c r="F51" s="893">
        <f>$E51-SUMIF('11.2. Нови активи отч.год.'!$B$61:$B$108,$B51,'11.2. Нови активи отч.год.'!$E$61:$E$108)+SUMIF('11.2. Нови активи отч.год.'!$B$61:$B$108,$B51,'11.2. Нови активи отч.год.'!F$61:F$108)+SUMIF('11.1.Амортиз.нови активи'!$B$60:$B$107,$B51,'11.1.Амортиз.нови активи'!F$60:F$107)+('11.1.Амортиз.нови активи'!F$109*SUMIF('11.1.Амортиз.нови активи'!$B$60:$B$107,$B51,'11.1.Амортиз.нови активи'!AA$60:AA$107))</f>
        <v>0</v>
      </c>
      <c r="G51" s="894">
        <f>$E51-SUMIF('11.2. Нови активи отч.год.'!$B$61:$B$108,$B51,'11.2. Нови активи отч.год.'!$E$61:$E$108)+SUMIF('11.2. Нови активи отч.год.'!$B$61:$B$108,$B51,'11.2. Нови активи отч.год.'!G$61:G$108)+SUMIF('11.1.Амортиз.нови активи'!$B$60:$B$107,$B51,'11.1.Амортиз.нови активи'!G$60:G$107)+('11.1.Амортиз.нови активи'!G$109*SUMIF('11.1.Амортиз.нови активи'!$B$60:$B$107,$B51,'11.1.Амортиз.нови активи'!AB$60:AB$107))</f>
        <v>0</v>
      </c>
      <c r="H51" s="894">
        <f>$E51-SUMIF('11.2. Нови активи отч.год.'!$B$61:$B$108,$B51,'11.2. Нови активи отч.год.'!$E$61:$E$108)+SUMIF('11.2. Нови активи отч.год.'!$B$61:$B$108,$B51,'11.2. Нови активи отч.год.'!H$61:H$108)+SUMIF('11.1.Амортиз.нови активи'!$B$60:$B$107,$B51,'11.1.Амортиз.нови активи'!H$60:H$107)+('11.1.Амортиз.нови активи'!H$109*SUMIF('11.1.Амортиз.нови активи'!$B$60:$B$107,$B51,'11.1.Амортиз.нови активи'!AC$60:AC$107))</f>
        <v>0</v>
      </c>
      <c r="I51" s="894">
        <f>$E51-SUMIF('11.2. Нови активи отч.год.'!$B$61:$B$108,$B51,'11.2. Нови активи отч.год.'!$E$61:$E$108)+SUMIF('11.2. Нови активи отч.год.'!$B$61:$B$108,$B51,'11.2. Нови активи отч.год.'!I$61:I$108)+SUMIF('11.1.Амортиз.нови активи'!$B$60:$B$107,$B51,'11.1.Амортиз.нови активи'!I$60:I$107)+('11.1.Амортиз.нови активи'!I$109*SUMIF('11.1.Амортиз.нови активи'!$B$60:$B$107,$B51,'11.1.Амортиз.нови активи'!AD$60:AD$107))</f>
        <v>0</v>
      </c>
      <c r="J51" s="894">
        <f>$E51-SUMIF('11.2. Нови активи отч.год.'!$B$61:$B$108,$B51,'11.2. Нови активи отч.год.'!$E$61:$E$108)+SUMIF('11.2. Нови активи отч.год.'!$B$61:$B$108,$B51,'11.2. Нови активи отч.год.'!J$61:J$108)+SUMIF('11.1.Амортиз.нови активи'!$B$60:$B$107,$B51,'11.1.Амортиз.нови активи'!J$60:J$107)+('11.1.Амортиз.нови активи'!J$109*SUMIF('11.1.Амортиз.нови активи'!$B$60:$B$107,$B51,'11.1.Амортиз.нови активи'!AE$60:AE$107))</f>
        <v>0</v>
      </c>
      <c r="K51" s="895">
        <f>$E51-SUMIF('11.2. Нови активи отч.год.'!$B$61:$B$108,$B51,'11.2. Нови активи отч.год.'!$E$61:$E$108)+SUMIF('11.2. Нови активи отч.год.'!$B$61:$B$108,$B51,'11.2. Нови активи отч.год.'!K$61:K$108)+SUMIF('11.1.Амортиз.нови активи'!$B$60:$B$107,$B51,'11.1.Амортиз.нови активи'!K$60:K$107)+('11.1.Амортиз.нови активи'!K$109*SUMIF('11.1.Амортиз.нови активи'!$B$60:$B$107,$B51,'11.1.Амортиз.нови активи'!AF$60:AF$107))</f>
        <v>0</v>
      </c>
      <c r="L51" s="2246">
        <v>0</v>
      </c>
      <c r="M51" s="893">
        <f>$L51-SUMIF('11.2. Нови активи отч.год.'!$B$61:$B$108,$B51,'11.2. Нови активи отч.год.'!$L$61:$L$108)+SUMIF('11.2. Нови активи отч.год.'!$B$61:$B$108,$B51,'11.2. Нови активи отч.год.'!M$61:M$108)+SUMIF('11.1.Амортиз.нови активи'!$B$60:$B$107,$B51,'11.1.Амортиз.нови активи'!M$60:M$107)+('11.1.Амортиз.нови активи'!F$110*SUMIF('11.1.Амортиз.нови активи'!$B$60:$B$107,$B51,'11.1.Амортиз.нови активи'!AA$60:AA$107))</f>
        <v>0</v>
      </c>
      <c r="N51" s="894">
        <f>$L51-SUMIF('11.2. Нови активи отч.год.'!$B$61:$B$108,$B51,'11.2. Нови активи отч.год.'!$L$61:$L$108)+SUMIF('11.2. Нови активи отч.год.'!$B$61:$B$108,$B51,'11.2. Нови активи отч.год.'!N$61:N$108)+SUMIF('11.1.Амортиз.нови активи'!$B$60:$B$107,$B51,'11.1.Амортиз.нови активи'!N$60:N$107)+('11.1.Амортиз.нови активи'!G$110*SUMIF('11.1.Амортиз.нови активи'!$B$60:$B$107,$B51,'11.1.Амортиз.нови активи'!AB$60:AB$107))</f>
        <v>0</v>
      </c>
      <c r="O51" s="894">
        <f>$L51-SUMIF('11.2. Нови активи отч.год.'!$B$61:$B$108,$B51,'11.2. Нови активи отч.год.'!$L$61:$L$108)+SUMIF('11.2. Нови активи отч.год.'!$B$61:$B$108,$B51,'11.2. Нови активи отч.год.'!O$61:O$108)+SUMIF('11.1.Амортиз.нови активи'!$B$60:$B$107,$B51,'11.1.Амортиз.нови активи'!O$60:O$107)+('11.1.Амортиз.нови активи'!H$110*SUMIF('11.1.Амортиз.нови активи'!$B$60:$B$107,$B51,'11.1.Амортиз.нови активи'!AC$60:AC$107))</f>
        <v>0</v>
      </c>
      <c r="P51" s="894">
        <f>$L51-SUMIF('11.2. Нови активи отч.год.'!$B$61:$B$108,$B51,'11.2. Нови активи отч.год.'!$L$61:$L$108)+SUMIF('11.2. Нови активи отч.год.'!$B$61:$B$108,$B51,'11.2. Нови активи отч.год.'!P$61:P$108)+SUMIF('11.1.Амортиз.нови активи'!$B$60:$B$107,$B51,'11.1.Амортиз.нови активи'!P$60:P$107)+('11.1.Амортиз.нови активи'!I$110*SUMIF('11.1.Амортиз.нови активи'!$B$60:$B$107,$B51,'11.1.Амортиз.нови активи'!AD$60:AD$107))</f>
        <v>0</v>
      </c>
      <c r="Q51" s="894">
        <f>$L51-SUMIF('11.2. Нови активи отч.год.'!$B$61:$B$108,$B51,'11.2. Нови активи отч.год.'!$L$61:$L$108)+SUMIF('11.2. Нови активи отч.год.'!$B$61:$B$108,$B51,'11.2. Нови активи отч.год.'!Q$61:Q$108)+SUMIF('11.1.Амортиз.нови активи'!$B$60:$B$107,$B51,'11.1.Амортиз.нови активи'!Q$60:Q$107)+('11.1.Амортиз.нови активи'!J$110*SUMIF('11.1.Амортиз.нови активи'!$B$60:$B$107,$B51,'11.1.Амортиз.нови активи'!AE$60:AE$107))</f>
        <v>0</v>
      </c>
      <c r="R51" s="895">
        <f>$L51-SUMIF('11.2. Нови активи отч.год.'!$B$61:$B$108,$B51,'11.2. Нови активи отч.год.'!$L$61:$L$108)+SUMIF('11.2. Нови активи отч.год.'!$B$61:$B$108,$B51,'11.2. Нови активи отч.год.'!R$61:R$108)+SUMIF('11.1.Амортиз.нови активи'!$B$60:$B$107,$B51,'11.1.Амортиз.нови активи'!R$60:R$107)+('11.1.Амортиз.нови активи'!K$110*SUMIF('11.1.Амортиз.нови активи'!$B$60:$B$107,$B51,'11.1.Амортиз.нови активи'!AF$60:AF$107))</f>
        <v>0</v>
      </c>
      <c r="S51" s="2246">
        <v>0</v>
      </c>
      <c r="T51" s="893">
        <f>$S51-SUMIF('11.2. Нови активи отч.год.'!$B$61:$B$108,$B51,'11.2. Нови активи отч.год.'!$S$61:$S$108)+SUMIF('11.2. Нови активи отч.год.'!$B$61:$B$108,$B51,'11.2. Нови активи отч.год.'!T$61:T$108)+SUMIF('11.1.Амортиз.нови активи'!$B$60:$B$107,$B51,'11.1.Амортиз.нови активи'!T$60:T$107)+('11.1.Амортиз.нови активи'!F$111*SUMIF('11.1.Амортиз.нови активи'!$B$60:$B$107,$B51,'11.1.Амортиз.нови активи'!AA$60:AA$107))</f>
        <v>0</v>
      </c>
      <c r="U51" s="894">
        <f>$S51-SUMIF('11.2. Нови активи отч.год.'!$B$61:$B$108,$B51,'11.2. Нови активи отч.год.'!$S$61:$S$108)+SUMIF('11.2. Нови активи отч.год.'!$B$61:$B$108,$B51,'11.2. Нови активи отч.год.'!U$61:U$108)+SUMIF('11.1.Амортиз.нови активи'!$B$60:$B$107,$B51,'11.1.Амортиз.нови активи'!U$60:U$107)+('11.1.Амортиз.нови активи'!G$111*SUMIF('11.1.Амортиз.нови активи'!$B$60:$B$107,$B51,'11.1.Амортиз.нови активи'!AB$60:AB$107))</f>
        <v>0</v>
      </c>
      <c r="V51" s="894">
        <f>$S51-SUMIF('11.2. Нови активи отч.год.'!$B$61:$B$108,$B51,'11.2. Нови активи отч.год.'!$S$61:$S$108)+SUMIF('11.2. Нови активи отч.год.'!$B$61:$B$108,$B51,'11.2. Нови активи отч.год.'!V$61:V$108)+SUMIF('11.1.Амортиз.нови активи'!$B$60:$B$107,$B51,'11.1.Амортиз.нови активи'!V$60:V$107)+('11.1.Амортиз.нови активи'!H$111*SUMIF('11.1.Амортиз.нови активи'!$B$60:$B$107,$B51,'11.1.Амортиз.нови активи'!AC$60:AC$107))</f>
        <v>0</v>
      </c>
      <c r="W51" s="894">
        <f>$S51-SUMIF('11.2. Нови активи отч.год.'!$B$61:$B$108,$B51,'11.2. Нови активи отч.год.'!$S$61:$S$108)+SUMIF('11.2. Нови активи отч.год.'!$B$61:$B$108,$B51,'11.2. Нови активи отч.год.'!W$61:W$108)+SUMIF('11.1.Амортиз.нови активи'!$B$60:$B$107,$B51,'11.1.Амортиз.нови активи'!W$60:W$107)+('11.1.Амортиз.нови активи'!I$111*SUMIF('11.1.Амортиз.нови активи'!$B$60:$B$107,$B51,'11.1.Амортиз.нови активи'!AD$60:AD$107))</f>
        <v>0</v>
      </c>
      <c r="X51" s="894">
        <f>$S51-SUMIF('11.2. Нови активи отч.год.'!$B$61:$B$108,$B51,'11.2. Нови активи отч.год.'!$S$61:$S$108)+SUMIF('11.2. Нови активи отч.год.'!$B$61:$B$108,$B51,'11.2. Нови активи отч.год.'!X$61:X$108)+SUMIF('11.1.Амортиз.нови активи'!$B$60:$B$107,$B51,'11.1.Амортиз.нови активи'!X$60:X$107)+('11.1.Амортиз.нови активи'!J$111*SUMIF('11.1.Амортиз.нови активи'!$B$60:$B$107,$B51,'11.1.Амортиз.нови активи'!AE$60:AE$107))</f>
        <v>0</v>
      </c>
      <c r="Y51" s="895">
        <f>$S51-SUMIF('11.2. Нови активи отч.год.'!$B$61:$B$108,$B51,'11.2. Нови активи отч.год.'!$S$61:$S$108)+SUMIF('11.2. Нови активи отч.год.'!$B$61:$B$108,$B51,'11.2. Нови активи отч.год.'!Y$61:Y$108)+SUMIF('11.1.Амортиз.нови активи'!$B$60:$B$107,$B51,'11.1.Амортиз.нови активи'!Y$60:Y$107)+('11.1.Амортиз.нови активи'!K$111*SUMIF('11.1.Амортиз.нови активи'!$B$60:$B$107,$B51,'11.1.Амортиз.нови активи'!AF$60:AF$107))</f>
        <v>0</v>
      </c>
      <c r="Z51" s="1672"/>
      <c r="AA51" s="1703"/>
    </row>
    <row r="52" spans="1:28">
      <c r="A52" s="1690">
        <v>10</v>
      </c>
      <c r="B52" s="1689">
        <v>209</v>
      </c>
      <c r="C52" s="1671">
        <v>0.1</v>
      </c>
      <c r="D52" s="1626" t="s">
        <v>276</v>
      </c>
      <c r="E52" s="2246">
        <v>0</v>
      </c>
      <c r="F52" s="893">
        <f>$E52-SUMIF('11.2. Нови активи отч.год.'!$B$61:$B$108,$B52,'11.2. Нови активи отч.год.'!$E$61:$E$108)+SUMIF('11.2. Нови активи отч.год.'!$B$61:$B$108,$B52,'11.2. Нови активи отч.год.'!F$61:F$108)+SUMIF('11.1.Амортиз.нови активи'!$B$60:$B$107,$B52,'11.1.Амортиз.нови активи'!F$60:F$107)+('11.1.Амортиз.нови активи'!F$109*SUMIF('11.1.Амортиз.нови активи'!$B$60:$B$107,$B52,'11.1.Амортиз.нови активи'!AA$60:AA$107))</f>
        <v>0</v>
      </c>
      <c r="G52" s="894">
        <f>$E52-SUMIF('11.2. Нови активи отч.год.'!$B$61:$B$108,$B52,'11.2. Нови активи отч.год.'!$E$61:$E$108)+SUMIF('11.2. Нови активи отч.год.'!$B$61:$B$108,$B52,'11.2. Нови активи отч.год.'!G$61:G$108)+SUMIF('11.1.Амортиз.нови активи'!$B$60:$B$107,$B52,'11.1.Амортиз.нови активи'!G$60:G$107)+('11.1.Амортиз.нови активи'!G$109*SUMIF('11.1.Амортиз.нови активи'!$B$60:$B$107,$B52,'11.1.Амортиз.нови активи'!AB$60:AB$107))</f>
        <v>0</v>
      </c>
      <c r="H52" s="894">
        <f>$E52-SUMIF('11.2. Нови активи отч.год.'!$B$61:$B$108,$B52,'11.2. Нови активи отч.год.'!$E$61:$E$108)+SUMIF('11.2. Нови активи отч.год.'!$B$61:$B$108,$B52,'11.2. Нови активи отч.год.'!H$61:H$108)+SUMIF('11.1.Амортиз.нови активи'!$B$60:$B$107,$B52,'11.1.Амортиз.нови активи'!H$60:H$107)+('11.1.Амортиз.нови активи'!H$109*SUMIF('11.1.Амортиз.нови активи'!$B$60:$B$107,$B52,'11.1.Амортиз.нови активи'!AC$60:AC$107))</f>
        <v>0</v>
      </c>
      <c r="I52" s="894">
        <f>$E52-SUMIF('11.2. Нови активи отч.год.'!$B$61:$B$108,$B52,'11.2. Нови активи отч.год.'!$E$61:$E$108)+SUMIF('11.2. Нови активи отч.год.'!$B$61:$B$108,$B52,'11.2. Нови активи отч.год.'!I$61:I$108)+SUMIF('11.1.Амортиз.нови активи'!$B$60:$B$107,$B52,'11.1.Амортиз.нови активи'!I$60:I$107)+('11.1.Амортиз.нови активи'!I$109*SUMIF('11.1.Амортиз.нови активи'!$B$60:$B$107,$B52,'11.1.Амортиз.нови активи'!AD$60:AD$107))</f>
        <v>0</v>
      </c>
      <c r="J52" s="894">
        <f>$E52-SUMIF('11.2. Нови активи отч.год.'!$B$61:$B$108,$B52,'11.2. Нови активи отч.год.'!$E$61:$E$108)+SUMIF('11.2. Нови активи отч.год.'!$B$61:$B$108,$B52,'11.2. Нови активи отч.год.'!J$61:J$108)+SUMIF('11.1.Амортиз.нови активи'!$B$60:$B$107,$B52,'11.1.Амортиз.нови активи'!J$60:J$107)+('11.1.Амортиз.нови активи'!J$109*SUMIF('11.1.Амортиз.нови активи'!$B$60:$B$107,$B52,'11.1.Амортиз.нови активи'!AE$60:AE$107))</f>
        <v>0</v>
      </c>
      <c r="K52" s="895">
        <f>$E52-SUMIF('11.2. Нови активи отч.год.'!$B$61:$B$108,$B52,'11.2. Нови активи отч.год.'!$E$61:$E$108)+SUMIF('11.2. Нови активи отч.год.'!$B$61:$B$108,$B52,'11.2. Нови активи отч.год.'!K$61:K$108)+SUMIF('11.1.Амортиз.нови активи'!$B$60:$B$107,$B52,'11.1.Амортиз.нови активи'!K$60:K$107)+('11.1.Амортиз.нови активи'!K$109*SUMIF('11.1.Амортиз.нови активи'!$B$60:$B$107,$B52,'11.1.Амортиз.нови активи'!AF$60:AF$107))</f>
        <v>0</v>
      </c>
      <c r="L52" s="2246">
        <v>0</v>
      </c>
      <c r="M52" s="893">
        <f>$L52-SUMIF('11.2. Нови активи отч.год.'!$B$61:$B$108,$B52,'11.2. Нови активи отч.год.'!$L$61:$L$108)+SUMIF('11.2. Нови активи отч.год.'!$B$61:$B$108,$B52,'11.2. Нови активи отч.год.'!M$61:M$108)+SUMIF('11.1.Амортиз.нови активи'!$B$60:$B$107,$B52,'11.1.Амортиз.нови активи'!M$60:M$107)+('11.1.Амортиз.нови активи'!F$110*SUMIF('11.1.Амортиз.нови активи'!$B$60:$B$107,$B52,'11.1.Амортиз.нови активи'!AA$60:AA$107))</f>
        <v>0</v>
      </c>
      <c r="N52" s="894">
        <f>$L52-SUMIF('11.2. Нови активи отч.год.'!$B$61:$B$108,$B52,'11.2. Нови активи отч.год.'!$L$61:$L$108)+SUMIF('11.2. Нови активи отч.год.'!$B$61:$B$108,$B52,'11.2. Нови активи отч.год.'!N$61:N$108)+SUMIF('11.1.Амортиз.нови активи'!$B$60:$B$107,$B52,'11.1.Амортиз.нови активи'!N$60:N$107)+('11.1.Амортиз.нови активи'!G$110*SUMIF('11.1.Амортиз.нови активи'!$B$60:$B$107,$B52,'11.1.Амортиз.нови активи'!AB$60:AB$107))</f>
        <v>0</v>
      </c>
      <c r="O52" s="894">
        <f>$L52-SUMIF('11.2. Нови активи отч.год.'!$B$61:$B$108,$B52,'11.2. Нови активи отч.год.'!$L$61:$L$108)+SUMIF('11.2. Нови активи отч.год.'!$B$61:$B$108,$B52,'11.2. Нови активи отч.год.'!O$61:O$108)+SUMIF('11.1.Амортиз.нови активи'!$B$60:$B$107,$B52,'11.1.Амортиз.нови активи'!O$60:O$107)+('11.1.Амортиз.нови активи'!H$110*SUMIF('11.1.Амортиз.нови активи'!$B$60:$B$107,$B52,'11.1.Амортиз.нови активи'!AC$60:AC$107))</f>
        <v>0</v>
      </c>
      <c r="P52" s="894">
        <f>$L52-SUMIF('11.2. Нови активи отч.год.'!$B$61:$B$108,$B52,'11.2. Нови активи отч.год.'!$L$61:$L$108)+SUMIF('11.2. Нови активи отч.год.'!$B$61:$B$108,$B52,'11.2. Нови активи отч.год.'!P$61:P$108)+SUMIF('11.1.Амортиз.нови активи'!$B$60:$B$107,$B52,'11.1.Амортиз.нови активи'!P$60:P$107)+('11.1.Амортиз.нови активи'!I$110*SUMIF('11.1.Амортиз.нови активи'!$B$60:$B$107,$B52,'11.1.Амортиз.нови активи'!AD$60:AD$107))</f>
        <v>0</v>
      </c>
      <c r="Q52" s="894">
        <f>$L52-SUMIF('11.2. Нови активи отч.год.'!$B$61:$B$108,$B52,'11.2. Нови активи отч.год.'!$L$61:$L$108)+SUMIF('11.2. Нови активи отч.год.'!$B$61:$B$108,$B52,'11.2. Нови активи отч.год.'!Q$61:Q$108)+SUMIF('11.1.Амортиз.нови активи'!$B$60:$B$107,$B52,'11.1.Амортиз.нови активи'!Q$60:Q$107)+('11.1.Амортиз.нови активи'!J$110*SUMIF('11.1.Амортиз.нови активи'!$B$60:$B$107,$B52,'11.1.Амортиз.нови активи'!AE$60:AE$107))</f>
        <v>0</v>
      </c>
      <c r="R52" s="895">
        <f>$L52-SUMIF('11.2. Нови активи отч.год.'!$B$61:$B$108,$B52,'11.2. Нови активи отч.год.'!$L$61:$L$108)+SUMIF('11.2. Нови активи отч.год.'!$B$61:$B$108,$B52,'11.2. Нови активи отч.год.'!R$61:R$108)+SUMIF('11.1.Амортиз.нови активи'!$B$60:$B$107,$B52,'11.1.Амортиз.нови активи'!R$60:R$107)+('11.1.Амортиз.нови активи'!K$110*SUMIF('11.1.Амортиз.нови активи'!$B$60:$B$107,$B52,'11.1.Амортиз.нови активи'!AF$60:AF$107))</f>
        <v>0</v>
      </c>
      <c r="S52" s="2246">
        <v>0</v>
      </c>
      <c r="T52" s="893">
        <f>$S52-SUMIF('11.2. Нови активи отч.год.'!$B$61:$B$108,$B52,'11.2. Нови активи отч.год.'!$S$61:$S$108)+SUMIF('11.2. Нови активи отч.год.'!$B$61:$B$108,$B52,'11.2. Нови активи отч.год.'!T$61:T$108)+SUMIF('11.1.Амортиз.нови активи'!$B$60:$B$107,$B52,'11.1.Амортиз.нови активи'!T$60:T$107)+('11.1.Амортиз.нови активи'!F$111*SUMIF('11.1.Амортиз.нови активи'!$B$60:$B$107,$B52,'11.1.Амортиз.нови активи'!AA$60:AA$107))</f>
        <v>0</v>
      </c>
      <c r="U52" s="894">
        <f>$S52-SUMIF('11.2. Нови активи отч.год.'!$B$61:$B$108,$B52,'11.2. Нови активи отч.год.'!$S$61:$S$108)+SUMIF('11.2. Нови активи отч.год.'!$B$61:$B$108,$B52,'11.2. Нови активи отч.год.'!U$61:U$108)+SUMIF('11.1.Амортиз.нови активи'!$B$60:$B$107,$B52,'11.1.Амортиз.нови активи'!U$60:U$107)+('11.1.Амортиз.нови активи'!G$111*SUMIF('11.1.Амортиз.нови активи'!$B$60:$B$107,$B52,'11.1.Амортиз.нови активи'!AB$60:AB$107))</f>
        <v>0</v>
      </c>
      <c r="V52" s="894">
        <f>$S52-SUMIF('11.2. Нови активи отч.год.'!$B$61:$B$108,$B52,'11.2. Нови активи отч.год.'!$S$61:$S$108)+SUMIF('11.2. Нови активи отч.год.'!$B$61:$B$108,$B52,'11.2. Нови активи отч.год.'!V$61:V$108)+SUMIF('11.1.Амортиз.нови активи'!$B$60:$B$107,$B52,'11.1.Амортиз.нови активи'!V$60:V$107)+('11.1.Амортиз.нови активи'!H$111*SUMIF('11.1.Амортиз.нови активи'!$B$60:$B$107,$B52,'11.1.Амортиз.нови активи'!AC$60:AC$107))</f>
        <v>0</v>
      </c>
      <c r="W52" s="894">
        <f>$S52-SUMIF('11.2. Нови активи отч.год.'!$B$61:$B$108,$B52,'11.2. Нови активи отч.год.'!$S$61:$S$108)+SUMIF('11.2. Нови активи отч.год.'!$B$61:$B$108,$B52,'11.2. Нови активи отч.год.'!W$61:W$108)+SUMIF('11.1.Амортиз.нови активи'!$B$60:$B$107,$B52,'11.1.Амортиз.нови активи'!W$60:W$107)+('11.1.Амортиз.нови активи'!I$111*SUMIF('11.1.Амортиз.нови активи'!$B$60:$B$107,$B52,'11.1.Амортиз.нови активи'!AD$60:AD$107))</f>
        <v>0</v>
      </c>
      <c r="X52" s="894">
        <f>$S52-SUMIF('11.2. Нови активи отч.год.'!$B$61:$B$108,$B52,'11.2. Нови активи отч.год.'!$S$61:$S$108)+SUMIF('11.2. Нови активи отч.год.'!$B$61:$B$108,$B52,'11.2. Нови активи отч.год.'!X$61:X$108)+SUMIF('11.1.Амортиз.нови активи'!$B$60:$B$107,$B52,'11.1.Амортиз.нови активи'!X$60:X$107)+('11.1.Амортиз.нови активи'!J$111*SUMIF('11.1.Амортиз.нови активи'!$B$60:$B$107,$B52,'11.1.Амортиз.нови активи'!AE$60:AE$107))</f>
        <v>0</v>
      </c>
      <c r="Y52" s="895">
        <f>$S52-SUMIF('11.2. Нови активи отч.год.'!$B$61:$B$108,$B52,'11.2. Нови активи отч.год.'!$S$61:$S$108)+SUMIF('11.2. Нови активи отч.год.'!$B$61:$B$108,$B52,'11.2. Нови активи отч.год.'!Y$61:Y$108)+SUMIF('11.1.Амортиз.нови активи'!$B$60:$B$107,$B52,'11.1.Амортиз.нови активи'!Y$60:Y$107)+('11.1.Амортиз.нови активи'!K$111*SUMIF('11.1.Амортиз.нови активи'!$B$60:$B$107,$B52,'11.1.Амортиз.нови активи'!AF$60:AF$107))</f>
        <v>0</v>
      </c>
      <c r="Z52" s="1672"/>
      <c r="AA52" s="1703"/>
    </row>
    <row r="53" spans="1:28" ht="24">
      <c r="A53" s="1690">
        <v>11</v>
      </c>
      <c r="B53" s="1689">
        <v>207</v>
      </c>
      <c r="C53" s="1671" t="s">
        <v>380</v>
      </c>
      <c r="D53" s="1628" t="s">
        <v>586</v>
      </c>
      <c r="E53" s="2246">
        <v>0</v>
      </c>
      <c r="F53" s="893">
        <f>$E53-SUMIF('11.2. Нови активи отч.год.'!$B$61:$B$108,$B53,'11.2. Нови активи отч.год.'!$E$61:$E$108)+SUMIF('11.2. Нови активи отч.год.'!$B$61:$B$108,$B53,'11.2. Нови активи отч.год.'!F$61:F$108)+SUMIF('11.1.Амортиз.нови активи'!$B$60:$B$107,$B53,'11.1.Амортиз.нови активи'!F$60:F$107)+('11.1.Амортиз.нови активи'!F$109*SUMIF('11.1.Амортиз.нови активи'!$B$60:$B$107,$B53,'11.1.Амортиз.нови активи'!AA$60:AA$107))</f>
        <v>0</v>
      </c>
      <c r="G53" s="894">
        <f>$E53-SUMIF('11.2. Нови активи отч.год.'!$B$61:$B$108,$B53,'11.2. Нови активи отч.год.'!$E$61:$E$108)+SUMIF('11.2. Нови активи отч.год.'!$B$61:$B$108,$B53,'11.2. Нови активи отч.год.'!G$61:G$108)+SUMIF('11.1.Амортиз.нови активи'!$B$60:$B$107,$B53,'11.1.Амортиз.нови активи'!G$60:G$107)+('11.1.Амортиз.нови активи'!G$109*SUMIF('11.1.Амортиз.нови активи'!$B$60:$B$107,$B53,'11.1.Амортиз.нови активи'!AB$60:AB$107))</f>
        <v>0</v>
      </c>
      <c r="H53" s="894">
        <f>$E53-SUMIF('11.2. Нови активи отч.год.'!$B$61:$B$108,$B53,'11.2. Нови активи отч.год.'!$E$61:$E$108)+SUMIF('11.2. Нови активи отч.год.'!$B$61:$B$108,$B53,'11.2. Нови активи отч.год.'!H$61:H$108)+SUMIF('11.1.Амортиз.нови активи'!$B$60:$B$107,$B53,'11.1.Амортиз.нови активи'!H$60:H$107)+('11.1.Амортиз.нови активи'!H$109*SUMIF('11.1.Амортиз.нови активи'!$B$60:$B$107,$B53,'11.1.Амортиз.нови активи'!AC$60:AC$107))</f>
        <v>0</v>
      </c>
      <c r="I53" s="894">
        <f>$E53-SUMIF('11.2. Нови активи отч.год.'!$B$61:$B$108,$B53,'11.2. Нови активи отч.год.'!$E$61:$E$108)+SUMIF('11.2. Нови активи отч.год.'!$B$61:$B$108,$B53,'11.2. Нови активи отч.год.'!I$61:I$108)+SUMIF('11.1.Амортиз.нови активи'!$B$60:$B$107,$B53,'11.1.Амортиз.нови активи'!I$60:I$107)+('11.1.Амортиз.нови активи'!I$109*SUMIF('11.1.Амортиз.нови активи'!$B$60:$B$107,$B53,'11.1.Амортиз.нови активи'!AD$60:AD$107))</f>
        <v>0</v>
      </c>
      <c r="J53" s="894">
        <f>$E53-SUMIF('11.2. Нови активи отч.год.'!$B$61:$B$108,$B53,'11.2. Нови активи отч.год.'!$E$61:$E$108)+SUMIF('11.2. Нови активи отч.год.'!$B$61:$B$108,$B53,'11.2. Нови активи отч.год.'!J$61:J$108)+SUMIF('11.1.Амортиз.нови активи'!$B$60:$B$107,$B53,'11.1.Амортиз.нови активи'!J$60:J$107)+('11.1.Амортиз.нови активи'!J$109*SUMIF('11.1.Амортиз.нови активи'!$B$60:$B$107,$B53,'11.1.Амортиз.нови активи'!AE$60:AE$107))</f>
        <v>0</v>
      </c>
      <c r="K53" s="895">
        <f>$E53-SUMIF('11.2. Нови активи отч.год.'!$B$61:$B$108,$B53,'11.2. Нови активи отч.год.'!$E$61:$E$108)+SUMIF('11.2. Нови активи отч.год.'!$B$61:$B$108,$B53,'11.2. Нови активи отч.год.'!K$61:K$108)+SUMIF('11.1.Амортиз.нови активи'!$B$60:$B$107,$B53,'11.1.Амортиз.нови активи'!K$60:K$107)+('11.1.Амортиз.нови активи'!K$109*SUMIF('11.1.Амортиз.нови активи'!$B$60:$B$107,$B53,'11.1.Амортиз.нови активи'!AF$60:AF$107))</f>
        <v>0</v>
      </c>
      <c r="L53" s="2246">
        <v>0</v>
      </c>
      <c r="M53" s="893">
        <f>$L53-SUMIF('11.2. Нови активи отч.год.'!$B$61:$B$108,$B53,'11.2. Нови активи отч.год.'!$L$61:$L$108)+SUMIF('11.2. Нови активи отч.год.'!$B$61:$B$108,$B53,'11.2. Нови активи отч.год.'!M$61:M$108)+SUMIF('11.1.Амортиз.нови активи'!$B$60:$B$107,$B53,'11.1.Амортиз.нови активи'!M$60:M$107)+('11.1.Амортиз.нови активи'!F$110*SUMIF('11.1.Амортиз.нови активи'!$B$60:$B$107,$B53,'11.1.Амортиз.нови активи'!AA$60:AA$107))</f>
        <v>0</v>
      </c>
      <c r="N53" s="894">
        <f>$L53-SUMIF('11.2. Нови активи отч.год.'!$B$61:$B$108,$B53,'11.2. Нови активи отч.год.'!$L$61:$L$108)+SUMIF('11.2. Нови активи отч.год.'!$B$61:$B$108,$B53,'11.2. Нови активи отч.год.'!N$61:N$108)+SUMIF('11.1.Амортиз.нови активи'!$B$60:$B$107,$B53,'11.1.Амортиз.нови активи'!N$60:N$107)+('11.1.Амортиз.нови активи'!G$110*SUMIF('11.1.Амортиз.нови активи'!$B$60:$B$107,$B53,'11.1.Амортиз.нови активи'!AB$60:AB$107))</f>
        <v>0</v>
      </c>
      <c r="O53" s="894">
        <f>$L53-SUMIF('11.2. Нови активи отч.год.'!$B$61:$B$108,$B53,'11.2. Нови активи отч.год.'!$L$61:$L$108)+SUMIF('11.2. Нови активи отч.год.'!$B$61:$B$108,$B53,'11.2. Нови активи отч.год.'!O$61:O$108)+SUMIF('11.1.Амортиз.нови активи'!$B$60:$B$107,$B53,'11.1.Амортиз.нови активи'!O$60:O$107)+('11.1.Амортиз.нови активи'!H$110*SUMIF('11.1.Амортиз.нови активи'!$B$60:$B$107,$B53,'11.1.Амортиз.нови активи'!AC$60:AC$107))</f>
        <v>0</v>
      </c>
      <c r="P53" s="894">
        <f>$L53-SUMIF('11.2. Нови активи отч.год.'!$B$61:$B$108,$B53,'11.2. Нови активи отч.год.'!$L$61:$L$108)+SUMIF('11.2. Нови активи отч.год.'!$B$61:$B$108,$B53,'11.2. Нови активи отч.год.'!P$61:P$108)+SUMIF('11.1.Амортиз.нови активи'!$B$60:$B$107,$B53,'11.1.Амортиз.нови активи'!P$60:P$107)+('11.1.Амортиз.нови активи'!I$110*SUMIF('11.1.Амортиз.нови активи'!$B$60:$B$107,$B53,'11.1.Амортиз.нови активи'!AD$60:AD$107))</f>
        <v>0</v>
      </c>
      <c r="Q53" s="894">
        <f>$L53-SUMIF('11.2. Нови активи отч.год.'!$B$61:$B$108,$B53,'11.2. Нови активи отч.год.'!$L$61:$L$108)+SUMIF('11.2. Нови активи отч.год.'!$B$61:$B$108,$B53,'11.2. Нови активи отч.год.'!Q$61:Q$108)+SUMIF('11.1.Амортиз.нови активи'!$B$60:$B$107,$B53,'11.1.Амортиз.нови активи'!Q$60:Q$107)+('11.1.Амортиз.нови активи'!J$110*SUMIF('11.1.Амортиз.нови активи'!$B$60:$B$107,$B53,'11.1.Амортиз.нови активи'!AE$60:AE$107))</f>
        <v>0</v>
      </c>
      <c r="R53" s="895">
        <f>$L53-SUMIF('11.2. Нови активи отч.год.'!$B$61:$B$108,$B53,'11.2. Нови активи отч.год.'!$L$61:$L$108)+SUMIF('11.2. Нови активи отч.год.'!$B$61:$B$108,$B53,'11.2. Нови активи отч.год.'!R$61:R$108)+SUMIF('11.1.Амортиз.нови активи'!$B$60:$B$107,$B53,'11.1.Амортиз.нови активи'!R$60:R$107)+('11.1.Амортиз.нови активи'!K$110*SUMIF('11.1.Амортиз.нови активи'!$B$60:$B$107,$B53,'11.1.Амортиз.нови активи'!AF$60:AF$107))</f>
        <v>0</v>
      </c>
      <c r="S53" s="2246">
        <v>0</v>
      </c>
      <c r="T53" s="893">
        <f>$S53-SUMIF('11.2. Нови активи отч.год.'!$B$61:$B$108,$B53,'11.2. Нови активи отч.год.'!$S$61:$S$108)+SUMIF('11.2. Нови активи отч.год.'!$B$61:$B$108,$B53,'11.2. Нови активи отч.год.'!T$61:T$108)+SUMIF('11.1.Амортиз.нови активи'!$B$60:$B$107,$B53,'11.1.Амортиз.нови активи'!T$60:T$107)+('11.1.Амортиз.нови активи'!F$111*SUMIF('11.1.Амортиз.нови активи'!$B$60:$B$107,$B53,'11.1.Амортиз.нови активи'!AA$60:AA$107))</f>
        <v>0</v>
      </c>
      <c r="U53" s="894">
        <f>$S53-SUMIF('11.2. Нови активи отч.год.'!$B$61:$B$108,$B53,'11.2. Нови активи отч.год.'!$S$61:$S$108)+SUMIF('11.2. Нови активи отч.год.'!$B$61:$B$108,$B53,'11.2. Нови активи отч.год.'!U$61:U$108)+SUMIF('11.1.Амортиз.нови активи'!$B$60:$B$107,$B53,'11.1.Амортиз.нови активи'!U$60:U$107)+('11.1.Амортиз.нови активи'!G$111*SUMIF('11.1.Амортиз.нови активи'!$B$60:$B$107,$B53,'11.1.Амортиз.нови активи'!AB$60:AB$107))</f>
        <v>0</v>
      </c>
      <c r="V53" s="894">
        <f>$S53-SUMIF('11.2. Нови активи отч.год.'!$B$61:$B$108,$B53,'11.2. Нови активи отч.год.'!$S$61:$S$108)+SUMIF('11.2. Нови активи отч.год.'!$B$61:$B$108,$B53,'11.2. Нови активи отч.год.'!V$61:V$108)+SUMIF('11.1.Амортиз.нови активи'!$B$60:$B$107,$B53,'11.1.Амортиз.нови активи'!V$60:V$107)+('11.1.Амортиз.нови активи'!H$111*SUMIF('11.1.Амортиз.нови активи'!$B$60:$B$107,$B53,'11.1.Амортиз.нови активи'!AC$60:AC$107))</f>
        <v>0</v>
      </c>
      <c r="W53" s="894">
        <f>$S53-SUMIF('11.2. Нови активи отч.год.'!$B$61:$B$108,$B53,'11.2. Нови активи отч.год.'!$S$61:$S$108)+SUMIF('11.2. Нови активи отч.год.'!$B$61:$B$108,$B53,'11.2. Нови активи отч.год.'!W$61:W$108)+SUMIF('11.1.Амортиз.нови активи'!$B$60:$B$107,$B53,'11.1.Амортиз.нови активи'!W$60:W$107)+('11.1.Амортиз.нови активи'!I$111*SUMIF('11.1.Амортиз.нови активи'!$B$60:$B$107,$B53,'11.1.Амортиз.нови активи'!AD$60:AD$107))</f>
        <v>0</v>
      </c>
      <c r="X53" s="894">
        <f>$S53-SUMIF('11.2. Нови активи отч.год.'!$B$61:$B$108,$B53,'11.2. Нови активи отч.год.'!$S$61:$S$108)+SUMIF('11.2. Нови активи отч.год.'!$B$61:$B$108,$B53,'11.2. Нови активи отч.год.'!X$61:X$108)+SUMIF('11.1.Амортиз.нови активи'!$B$60:$B$107,$B53,'11.1.Амортиз.нови активи'!X$60:X$107)+('11.1.Амортиз.нови активи'!J$111*SUMIF('11.1.Амортиз.нови активи'!$B$60:$B$107,$B53,'11.1.Амортиз.нови активи'!AE$60:AE$107))</f>
        <v>0</v>
      </c>
      <c r="Y53" s="895">
        <f>$S53-SUMIF('11.2. Нови активи отч.год.'!$B$61:$B$108,$B53,'11.2. Нови активи отч.год.'!$S$61:$S$108)+SUMIF('11.2. Нови активи отч.год.'!$B$61:$B$108,$B53,'11.2. Нови активи отч.год.'!Y$61:Y$108)+SUMIF('11.1.Амортиз.нови активи'!$B$60:$B$107,$B53,'11.1.Амортиз.нови активи'!Y$60:Y$107)+('11.1.Амортиз.нови активи'!K$111*SUMIF('11.1.Амортиз.нови активи'!$B$60:$B$107,$B53,'11.1.Амортиз.нови активи'!AF$60:AF$107))</f>
        <v>0</v>
      </c>
      <c r="Z53" s="1672"/>
      <c r="AA53" s="1703"/>
    </row>
    <row r="54" spans="1:28">
      <c r="A54" s="1690">
        <v>12</v>
      </c>
      <c r="B54" s="1688">
        <v>212</v>
      </c>
      <c r="C54" s="1680">
        <v>0.2</v>
      </c>
      <c r="D54" s="1629" t="s">
        <v>277</v>
      </c>
      <c r="E54" s="2246">
        <v>5</v>
      </c>
      <c r="F54" s="893">
        <f>$E54-SUMIF('11.2. Нови активи отч.год.'!$B$61:$B$108,$B54,'11.2. Нови активи отч.год.'!$E$61:$E$108)+SUMIF('11.2. Нови активи отч.год.'!$B$61:$B$108,$B54,'11.2. Нови активи отч.год.'!F$61:F$108)+SUMIF('11.1.Амортиз.нови активи'!$B$60:$B$107,$B54,'11.1.Амортиз.нови активи'!F$60:F$107)+('11.1.Амортиз.нови активи'!F$109*SUMIF('11.1.Амортиз.нови активи'!$B$60:$B$107,$B54,'11.1.Амортиз.нови активи'!AA$60:AA$107))</f>
        <v>5.7921636085626913</v>
      </c>
      <c r="G54" s="894">
        <f>$E54-SUMIF('11.2. Нови активи отч.год.'!$B$61:$B$108,$B54,'11.2. Нови активи отч.год.'!$E$61:$E$108)+SUMIF('11.2. Нови активи отч.год.'!$B$61:$B$108,$B54,'11.2. Нови активи отч.год.'!G$61:G$108)+SUMIF('11.1.Амортиз.нови активи'!$B$60:$B$107,$B54,'11.1.Амортиз.нови активи'!G$60:G$107)+('11.1.Амортиз.нови активи'!G$109*SUMIF('11.1.Амортиз.нови активи'!$B$60:$B$107,$B54,'11.1.Амортиз.нови активи'!AB$60:AB$107))</f>
        <v>2.7020973260676717</v>
      </c>
      <c r="H54" s="894">
        <f>$E54-SUMIF('11.2. Нови активи отч.год.'!$B$61:$B$108,$B54,'11.2. Нови активи отч.год.'!$E$61:$E$108)+SUMIF('11.2. Нови активи отч.год.'!$B$61:$B$108,$B54,'11.2. Нови активи отч.год.'!H$61:H$108)+SUMIF('11.1.Амортиз.нови активи'!$B$60:$B$107,$B54,'11.1.Амортиз.нови активи'!H$60:H$107)+('11.1.Амортиз.нови активи'!H$109*SUMIF('11.1.Амортиз.нови активи'!$B$60:$B$107,$B54,'11.1.Амортиз.нови активи'!AC$60:AC$107))</f>
        <v>2.6472713164928012</v>
      </c>
      <c r="I54" s="894">
        <f>$E54-SUMIF('11.2. Нови активи отч.год.'!$B$61:$B$108,$B54,'11.2. Нови активи отч.год.'!$E$61:$E$108)+SUMIF('11.2. Нови активи отч.год.'!$B$61:$B$108,$B54,'11.2. Нови активи отч.год.'!I$61:I$108)+SUMIF('11.1.Амортиз.нови активи'!$B$60:$B$107,$B54,'11.1.Амортиз.нови активи'!I$60:I$107)+('11.1.Амортиз.нови активи'!I$109*SUMIF('11.1.Амортиз.нови активи'!$B$60:$B$107,$B54,'11.1.Амортиз.нови активи'!AD$60:AD$107))</f>
        <v>2.8890129370497495</v>
      </c>
      <c r="J54" s="894">
        <f>$E54-SUMIF('11.2. Нови активи отч.год.'!$B$61:$B$108,$B54,'11.2. Нови активи отч.год.'!$E$61:$E$108)+SUMIF('11.2. Нови активи отч.год.'!$B$61:$B$108,$B54,'11.2. Нови активи отч.год.'!J$61:J$108)+SUMIF('11.1.Амортиз.нови активи'!$B$60:$B$107,$B54,'11.1.Амортиз.нови активи'!J$60:J$107)+('11.1.Амортиз.нови активи'!J$109*SUMIF('11.1.Амортиз.нови активи'!$B$60:$B$107,$B54,'11.1.Амортиз.нови активи'!AE$60:AE$107))</f>
        <v>4.2644577159472776</v>
      </c>
      <c r="K54" s="895">
        <f>$E54-SUMIF('11.2. Нови активи отч.год.'!$B$61:$B$108,$B54,'11.2. Нови активи отч.год.'!$E$61:$E$108)+SUMIF('11.2. Нови активи отч.год.'!$B$61:$B$108,$B54,'11.2. Нови активи отч.год.'!K$61:K$108)+SUMIF('11.1.Амортиз.нови активи'!$B$60:$B$107,$B54,'11.1.Амортиз.нови активи'!K$60:K$107)+('11.1.Амортиз.нови активи'!K$109*SUMIF('11.1.Амортиз.нови активи'!$B$60:$B$107,$B54,'11.1.Амортиз.нови активи'!AF$60:AF$107))</f>
        <v>5.6768799595900346</v>
      </c>
      <c r="L54" s="2246">
        <v>0</v>
      </c>
      <c r="M54" s="893">
        <f>$L54-SUMIF('11.2. Нови активи отч.год.'!$B$61:$B$108,$B54,'11.2. Нови активи отч.год.'!$L$61:$L$108)+SUMIF('11.2. Нови активи отч.год.'!$B$61:$B$108,$B54,'11.2. Нови активи отч.год.'!M$61:M$108)+SUMIF('11.1.Амортиз.нови активи'!$B$60:$B$107,$B54,'11.1.Амортиз.нови активи'!M$60:M$107)+('11.1.Амортиз.нови активи'!F$110*SUMIF('11.1.Амортиз.нови активи'!$B$60:$B$107,$B54,'11.1.Амортиз.нови активи'!AA$60:AA$107))</f>
        <v>2.1024464831804284E-3</v>
      </c>
      <c r="N54" s="894">
        <f>$L54-SUMIF('11.2. Нови активи отч.год.'!$B$61:$B$108,$B54,'11.2. Нови активи отч.год.'!$L$61:$L$108)+SUMIF('11.2. Нови активи отч.год.'!$B$61:$B$108,$B54,'11.2. Нови активи отч.год.'!N$61:N$108)+SUMIF('11.1.Амортиз.нови активи'!$B$60:$B$107,$B54,'11.1.Амортиз.нови активи'!N$60:N$107)+('11.1.Амортиз.нови активи'!G$110*SUMIF('11.1.Амортиз.нови активи'!$B$60:$B$107,$B54,'11.1.Амортиз.нови активи'!AB$60:AB$107))</f>
        <v>0.47064377138512231</v>
      </c>
      <c r="O54" s="894">
        <f>$L54-SUMIF('11.2. Нови активи отч.год.'!$B$61:$B$108,$B54,'11.2. Нови активи отч.год.'!$L$61:$L$108)+SUMIF('11.2. Нови активи отч.год.'!$B$61:$B$108,$B54,'11.2. Нови активи отч.год.'!O$61:O$108)+SUMIF('11.1.Амортиз.нови активи'!$B$60:$B$107,$B54,'11.1.Амортиз.нови активи'!O$60:O$107)+('11.1.Амортиз.нови активи'!H$110*SUMIF('11.1.Амортиз.нови активи'!$B$60:$B$107,$B54,'11.1.Амортиз.нови активи'!AC$60:AC$107))</f>
        <v>1.3460039658591256</v>
      </c>
      <c r="P54" s="894">
        <f>$L54-SUMIF('11.2. Нови активи отч.год.'!$B$61:$B$108,$B54,'11.2. Нови активи отч.год.'!$L$61:$L$108)+SUMIF('11.2. Нови активи отч.год.'!$B$61:$B$108,$B54,'11.2. Нови активи отч.год.'!P$61:P$108)+SUMIF('11.1.Амортиз.нови активи'!$B$60:$B$107,$B54,'11.1.Амортиз.нови активи'!P$60:P$107)+('11.1.Амортиз.нови активи'!I$110*SUMIF('11.1.Амортиз.нови активи'!$B$60:$B$107,$B54,'11.1.Амортиз.нови активи'!AD$60:AD$107))</f>
        <v>1.8095877494059518</v>
      </c>
      <c r="Q54" s="894">
        <f>$L54-SUMIF('11.2. Нови активи отч.год.'!$B$61:$B$108,$B54,'11.2. Нови активи отч.год.'!$L$61:$L$108)+SUMIF('11.2. Нови активи отч.год.'!$B$61:$B$108,$B54,'11.2. Нови активи отч.год.'!Q$61:Q$108)+SUMIF('11.1.Амортиз.нови активи'!$B$60:$B$107,$B54,'11.1.Амортиз.нови активи'!Q$60:Q$107)+('11.1.Амортиз.нови активи'!J$110*SUMIF('11.1.Амортиз.нови активи'!$B$60:$B$107,$B54,'11.1.Амортиз.нови активи'!AE$60:AE$107))</f>
        <v>2.2649104173558752</v>
      </c>
      <c r="R54" s="895">
        <f>$L54-SUMIF('11.2. Нови активи отч.год.'!$B$61:$B$108,$B54,'11.2. Нови активи отч.год.'!$L$61:$L$108)+SUMIF('11.2. Нови активи отч.год.'!$B$61:$B$108,$B54,'11.2. Нови активи отч.год.'!R$61:R$108)+SUMIF('11.1.Амортиз.нови активи'!$B$60:$B$107,$B54,'11.1.Амортиз.нови активи'!R$60:R$107)+('11.1.Амортиз.нови активи'!K$110*SUMIF('11.1.Амортиз.нови активи'!$B$60:$B$107,$B54,'11.1.Амортиз.нови активи'!AF$60:AF$107))</f>
        <v>2.6796662918968241</v>
      </c>
      <c r="S54" s="2246">
        <v>1</v>
      </c>
      <c r="T54" s="893">
        <f>$S54-SUMIF('11.2. Нови активи отч.год.'!$B$61:$B$108,$B54,'11.2. Нови активи отч.год.'!$S$61:$S$108)+SUMIF('11.2. Нови активи отч.год.'!$B$61:$B$108,$B54,'11.2. Нови активи отч.год.'!T$61:T$108)+SUMIF('11.1.Амортиз.нови активи'!$B$60:$B$107,$B54,'11.1.Амортиз.нови активи'!T$60:T$107)+('11.1.Амортиз.нови активи'!F$111*SUMIF('11.1.Амортиз.нови активи'!$B$60:$B$107,$B54,'11.1.Амортиз.нови активи'!AA$60:AA$107))</f>
        <v>5.7339449541284407E-3</v>
      </c>
      <c r="U54" s="894">
        <f>$S54-SUMIF('11.2. Нови активи отч.год.'!$B$61:$B$108,$B54,'11.2. Нови активи отч.год.'!$S$61:$S$108)+SUMIF('11.2. Нови активи отч.год.'!$B$61:$B$108,$B54,'11.2. Нови активи отч.год.'!U$61:U$108)+SUMIF('11.1.Амортиз.нови активи'!$B$60:$B$107,$B54,'11.1.Амортиз.нови активи'!U$60:U$107)+('11.1.Амортиз.нови активи'!G$111*SUMIF('11.1.Амортиз.нови активи'!$B$60:$B$107,$B54,'11.1.Амортиз.нови активи'!AB$60:AB$107))</f>
        <v>-0.97274109745279436</v>
      </c>
      <c r="V54" s="894">
        <f>$S54-SUMIF('11.2. Нови активи отч.год.'!$B$61:$B$108,$B54,'11.2. Нови активи отч.год.'!$S$61:$S$108)+SUMIF('11.2. Нови активи отч.год.'!$B$61:$B$108,$B54,'11.2. Нови активи отч.год.'!V$61:V$108)+SUMIF('11.1.Амортиз.нови активи'!$B$60:$B$107,$B54,'11.1.Амортиз.нови активи'!V$60:V$107)+('11.1.Амортиз.нови активи'!H$111*SUMIF('11.1.Амортиз.нови активи'!$B$60:$B$107,$B54,'11.1.Амортиз.нови активи'!AC$60:AC$107))</f>
        <v>-0.7932752823519269</v>
      </c>
      <c r="W54" s="894">
        <f>$S54-SUMIF('11.2. Нови активи отч.год.'!$B$61:$B$108,$B54,'11.2. Нови активи отч.год.'!$S$61:$S$108)+SUMIF('11.2. Нови активи отч.год.'!$B$61:$B$108,$B54,'11.2. Нови активи отч.год.'!W$61:W$108)+SUMIF('11.1.Амортиз.нови активи'!$B$60:$B$107,$B54,'11.1.Амортиз.нови активи'!W$60:W$107)+('11.1.Амортиз.нови активи'!I$111*SUMIF('11.1.Амортиз.нови активи'!$B$60:$B$107,$B54,'11.1.Амортиз.нови активи'!AD$60:AD$107))</f>
        <v>-0.49860068645570088</v>
      </c>
      <c r="X54" s="894">
        <f>$S54-SUMIF('11.2. Нови активи отч.год.'!$B$61:$B$108,$B54,'11.2. Нови активи отч.год.'!$S$61:$S$108)+SUMIF('11.2. Нови активи отч.год.'!$B$61:$B$108,$B54,'11.2. Нови активи отч.год.'!X$61:X$108)+SUMIF('11.1.Амортиз.нови активи'!$B$60:$B$107,$B54,'11.1.Амортиз.нови активи'!X$60:X$107)+('11.1.Амортиз.нови активи'!J$111*SUMIF('11.1.Амортиз.нови активи'!$B$60:$B$107,$B54,'11.1.Амортиз.нови активи'!AE$60:AE$107))</f>
        <v>-0.32936813330315329</v>
      </c>
      <c r="Y54" s="895">
        <f>$S54-SUMIF('11.2. Нови активи отч.год.'!$B$61:$B$108,$B54,'11.2. Нови активи отч.год.'!$S$61:$S$108)+SUMIF('11.2. Нови активи отч.год.'!$B$61:$B$108,$B54,'11.2. Нови активи отч.год.'!Y$61:Y$108)+SUMIF('11.1.Амортиз.нови активи'!$B$60:$B$107,$B54,'11.1.Амортиз.нови активи'!Y$60:Y$107)+('11.1.Амортиз.нови активи'!K$111*SUMIF('11.1.Амортиз.нови активи'!$B$60:$B$107,$B54,'11.1.Амортиз.нови активи'!AF$60:AF$107))</f>
        <v>-0.15654625148685863</v>
      </c>
      <c r="Z54" s="1672"/>
      <c r="AA54" s="1703"/>
    </row>
    <row r="55" spans="1:28">
      <c r="A55" s="1690">
        <v>13</v>
      </c>
      <c r="B55" s="1687">
        <v>213</v>
      </c>
      <c r="C55" s="1691">
        <v>0.2</v>
      </c>
      <c r="D55" s="272" t="s">
        <v>278</v>
      </c>
      <c r="E55" s="2246">
        <v>0</v>
      </c>
      <c r="F55" s="893">
        <f>$E55-SUMIF('11.2. Нови активи отч.год.'!$B$61:$B$108,$B55,'11.2. Нови активи отч.год.'!$E$61:$E$108)+SUMIF('11.2. Нови активи отч.год.'!$B$61:$B$108,$B55,'11.2. Нови активи отч.год.'!F$61:F$108)+SUMIF('11.1.Амортиз.нови активи'!$B$60:$B$107,$B55,'11.1.Амортиз.нови активи'!F$60:F$107)+('11.1.Амортиз.нови активи'!F$109*SUMIF('11.1.Амортиз.нови активи'!$B$60:$B$107,$B55,'11.1.Амортиз.нови активи'!AA$60:AA$107))</f>
        <v>0</v>
      </c>
      <c r="G55" s="894">
        <f>$E55-SUMIF('11.2. Нови активи отч.год.'!$B$61:$B$108,$B55,'11.2. Нови активи отч.год.'!$E$61:$E$108)+SUMIF('11.2. Нови активи отч.год.'!$B$61:$B$108,$B55,'11.2. Нови активи отч.год.'!G$61:G$108)+SUMIF('11.1.Амортиз.нови активи'!$B$60:$B$107,$B55,'11.1.Амортиз.нови активи'!G$60:G$107)+('11.1.Амортиз.нови активи'!G$109*SUMIF('11.1.Амортиз.нови активи'!$B$60:$B$107,$B55,'11.1.Амортиз.нови активи'!AB$60:AB$107))</f>
        <v>0</v>
      </c>
      <c r="H55" s="894">
        <f>$E55-SUMIF('11.2. Нови активи отч.год.'!$B$61:$B$108,$B55,'11.2. Нови активи отч.год.'!$E$61:$E$108)+SUMIF('11.2. Нови активи отч.год.'!$B$61:$B$108,$B55,'11.2. Нови активи отч.год.'!H$61:H$108)+SUMIF('11.1.Амортиз.нови активи'!$B$60:$B$107,$B55,'11.1.Амортиз.нови активи'!H$60:H$107)+('11.1.Амортиз.нови активи'!H$109*SUMIF('11.1.Амортиз.нови активи'!$B$60:$B$107,$B55,'11.1.Амортиз.нови активи'!AC$60:AC$107))</f>
        <v>0</v>
      </c>
      <c r="I55" s="894">
        <f>$E55-SUMIF('11.2. Нови активи отч.год.'!$B$61:$B$108,$B55,'11.2. Нови активи отч.год.'!$E$61:$E$108)+SUMIF('11.2. Нови активи отч.год.'!$B$61:$B$108,$B55,'11.2. Нови активи отч.год.'!I$61:I$108)+SUMIF('11.1.Амортиз.нови активи'!$B$60:$B$107,$B55,'11.1.Амортиз.нови активи'!I$60:I$107)+('11.1.Амортиз.нови активи'!I$109*SUMIF('11.1.Амортиз.нови активи'!$B$60:$B$107,$B55,'11.1.Амортиз.нови активи'!AD$60:AD$107))</f>
        <v>0</v>
      </c>
      <c r="J55" s="894">
        <f>$E55-SUMIF('11.2. Нови активи отч.год.'!$B$61:$B$108,$B55,'11.2. Нови активи отч.год.'!$E$61:$E$108)+SUMIF('11.2. Нови активи отч.год.'!$B$61:$B$108,$B55,'11.2. Нови активи отч.год.'!J$61:J$108)+SUMIF('11.1.Амортиз.нови активи'!$B$60:$B$107,$B55,'11.1.Амортиз.нови активи'!J$60:J$107)+('11.1.Амортиз.нови активи'!J$109*SUMIF('11.1.Амортиз.нови активи'!$B$60:$B$107,$B55,'11.1.Амортиз.нови активи'!AE$60:AE$107))</f>
        <v>0</v>
      </c>
      <c r="K55" s="895">
        <f>$E55-SUMIF('11.2. Нови активи отч.год.'!$B$61:$B$108,$B55,'11.2. Нови активи отч.год.'!$E$61:$E$108)+SUMIF('11.2. Нови активи отч.год.'!$B$61:$B$108,$B55,'11.2. Нови активи отч.год.'!K$61:K$108)+SUMIF('11.1.Амортиз.нови активи'!$B$60:$B$107,$B55,'11.1.Амортиз.нови активи'!K$60:K$107)+('11.1.Амортиз.нови активи'!K$109*SUMIF('11.1.Амортиз.нови активи'!$B$60:$B$107,$B55,'11.1.Амортиз.нови активи'!AF$60:AF$107))</f>
        <v>0</v>
      </c>
      <c r="L55" s="2246">
        <v>0</v>
      </c>
      <c r="M55" s="893">
        <f>$L55-SUMIF('11.2. Нови активи отч.год.'!$B$61:$B$108,$B55,'11.2. Нови активи отч.год.'!$L$61:$L$108)+SUMIF('11.2. Нови активи отч.год.'!$B$61:$B$108,$B55,'11.2. Нови активи отч.год.'!M$61:M$108)+SUMIF('11.1.Амортиз.нови активи'!$B$60:$B$107,$B55,'11.1.Амортиз.нови активи'!M$60:M$107)+('11.1.Амортиз.нови активи'!F$110*SUMIF('11.1.Амортиз.нови активи'!$B$60:$B$107,$B55,'11.1.Амортиз.нови активи'!AA$60:AA$107))</f>
        <v>0</v>
      </c>
      <c r="N55" s="894">
        <f>$L55-SUMIF('11.2. Нови активи отч.год.'!$B$61:$B$108,$B55,'11.2. Нови активи отч.год.'!$L$61:$L$108)+SUMIF('11.2. Нови активи отч.год.'!$B$61:$B$108,$B55,'11.2. Нови активи отч.год.'!N$61:N$108)+SUMIF('11.1.Амортиз.нови активи'!$B$60:$B$107,$B55,'11.1.Амортиз.нови активи'!N$60:N$107)+('11.1.Амортиз.нови активи'!G$110*SUMIF('11.1.Амортиз.нови активи'!$B$60:$B$107,$B55,'11.1.Амортиз.нови активи'!AB$60:AB$107))</f>
        <v>0</v>
      </c>
      <c r="O55" s="894">
        <f>$L55-SUMIF('11.2. Нови активи отч.год.'!$B$61:$B$108,$B55,'11.2. Нови активи отч.год.'!$L$61:$L$108)+SUMIF('11.2. Нови активи отч.год.'!$B$61:$B$108,$B55,'11.2. Нови активи отч.год.'!O$61:O$108)+SUMIF('11.1.Амортиз.нови активи'!$B$60:$B$107,$B55,'11.1.Амортиз.нови активи'!O$60:O$107)+('11.1.Амортиз.нови активи'!H$110*SUMIF('11.1.Амортиз.нови активи'!$B$60:$B$107,$B55,'11.1.Амортиз.нови активи'!AC$60:AC$107))</f>
        <v>0</v>
      </c>
      <c r="P55" s="894">
        <f>$L55-SUMIF('11.2. Нови активи отч.год.'!$B$61:$B$108,$B55,'11.2. Нови активи отч.год.'!$L$61:$L$108)+SUMIF('11.2. Нови активи отч.год.'!$B$61:$B$108,$B55,'11.2. Нови активи отч.год.'!P$61:P$108)+SUMIF('11.1.Амортиз.нови активи'!$B$60:$B$107,$B55,'11.1.Амортиз.нови активи'!P$60:P$107)+('11.1.Амортиз.нови активи'!I$110*SUMIF('11.1.Амортиз.нови активи'!$B$60:$B$107,$B55,'11.1.Амортиз.нови активи'!AD$60:AD$107))</f>
        <v>0</v>
      </c>
      <c r="Q55" s="894">
        <f>$L55-SUMIF('11.2. Нови активи отч.год.'!$B$61:$B$108,$B55,'11.2. Нови активи отч.год.'!$L$61:$L$108)+SUMIF('11.2. Нови активи отч.год.'!$B$61:$B$108,$B55,'11.2. Нови активи отч.год.'!Q$61:Q$108)+SUMIF('11.1.Амортиз.нови активи'!$B$60:$B$107,$B55,'11.1.Амортиз.нови активи'!Q$60:Q$107)+('11.1.Амортиз.нови активи'!J$110*SUMIF('11.1.Амортиз.нови активи'!$B$60:$B$107,$B55,'11.1.Амортиз.нови активи'!AE$60:AE$107))</f>
        <v>0</v>
      </c>
      <c r="R55" s="895">
        <f>$L55-SUMIF('11.2. Нови активи отч.год.'!$B$61:$B$108,$B55,'11.2. Нови активи отч.год.'!$L$61:$L$108)+SUMIF('11.2. Нови активи отч.год.'!$B$61:$B$108,$B55,'11.2. Нови активи отч.год.'!R$61:R$108)+SUMIF('11.1.Амортиз.нови активи'!$B$60:$B$107,$B55,'11.1.Амортиз.нови активи'!R$60:R$107)+('11.1.Амортиз.нови активи'!K$110*SUMIF('11.1.Амортиз.нови активи'!$B$60:$B$107,$B55,'11.1.Амортиз.нови активи'!AF$60:AF$107))</f>
        <v>0</v>
      </c>
      <c r="S55" s="2246">
        <v>0</v>
      </c>
      <c r="T55" s="893">
        <f>$S55-SUMIF('11.2. Нови активи отч.год.'!$B$61:$B$108,$B55,'11.2. Нови активи отч.год.'!$S$61:$S$108)+SUMIF('11.2. Нови активи отч.год.'!$B$61:$B$108,$B55,'11.2. Нови активи отч.год.'!T$61:T$108)+SUMIF('11.1.Амортиз.нови активи'!$B$60:$B$107,$B55,'11.1.Амортиз.нови активи'!T$60:T$107)+('11.1.Амортиз.нови активи'!F$111*SUMIF('11.1.Амортиз.нови активи'!$B$60:$B$107,$B55,'11.1.Амортиз.нови активи'!AA$60:AA$107))</f>
        <v>0</v>
      </c>
      <c r="U55" s="894">
        <f>$S55-SUMIF('11.2. Нови активи отч.год.'!$B$61:$B$108,$B55,'11.2. Нови активи отч.год.'!$S$61:$S$108)+SUMIF('11.2. Нови активи отч.год.'!$B$61:$B$108,$B55,'11.2. Нови активи отч.год.'!U$61:U$108)+SUMIF('11.1.Амортиз.нови активи'!$B$60:$B$107,$B55,'11.1.Амортиз.нови активи'!U$60:U$107)+('11.1.Амортиз.нови активи'!G$111*SUMIF('11.1.Амортиз.нови активи'!$B$60:$B$107,$B55,'11.1.Амортиз.нови активи'!AB$60:AB$107))</f>
        <v>0</v>
      </c>
      <c r="V55" s="894">
        <f>$S55-SUMIF('11.2. Нови активи отч.год.'!$B$61:$B$108,$B55,'11.2. Нови активи отч.год.'!$S$61:$S$108)+SUMIF('11.2. Нови активи отч.год.'!$B$61:$B$108,$B55,'11.2. Нови активи отч.год.'!V$61:V$108)+SUMIF('11.1.Амортиз.нови активи'!$B$60:$B$107,$B55,'11.1.Амортиз.нови активи'!V$60:V$107)+('11.1.Амортиз.нови активи'!H$111*SUMIF('11.1.Амортиз.нови активи'!$B$60:$B$107,$B55,'11.1.Амортиз.нови активи'!AC$60:AC$107))</f>
        <v>0</v>
      </c>
      <c r="W55" s="894">
        <f>$S55-SUMIF('11.2. Нови активи отч.год.'!$B$61:$B$108,$B55,'11.2. Нови активи отч.год.'!$S$61:$S$108)+SUMIF('11.2. Нови активи отч.год.'!$B$61:$B$108,$B55,'11.2. Нови активи отч.год.'!W$61:W$108)+SUMIF('11.1.Амортиз.нови активи'!$B$60:$B$107,$B55,'11.1.Амортиз.нови активи'!W$60:W$107)+('11.1.Амортиз.нови активи'!I$111*SUMIF('11.1.Амортиз.нови активи'!$B$60:$B$107,$B55,'11.1.Амортиз.нови активи'!AD$60:AD$107))</f>
        <v>0</v>
      </c>
      <c r="X55" s="894">
        <f>$S55-SUMIF('11.2. Нови активи отч.год.'!$B$61:$B$108,$B55,'11.2. Нови активи отч.год.'!$S$61:$S$108)+SUMIF('11.2. Нови активи отч.год.'!$B$61:$B$108,$B55,'11.2. Нови активи отч.год.'!X$61:X$108)+SUMIF('11.1.Амортиз.нови активи'!$B$60:$B$107,$B55,'11.1.Амортиз.нови активи'!X$60:X$107)+('11.1.Амортиз.нови активи'!J$111*SUMIF('11.1.Амортиз.нови активи'!$B$60:$B$107,$B55,'11.1.Амортиз.нови активи'!AE$60:AE$107))</f>
        <v>0</v>
      </c>
      <c r="Y55" s="895">
        <f>$S55-SUMIF('11.2. Нови активи отч.год.'!$B$61:$B$108,$B55,'11.2. Нови активи отч.год.'!$S$61:$S$108)+SUMIF('11.2. Нови активи отч.год.'!$B$61:$B$108,$B55,'11.2. Нови активи отч.год.'!Y$61:Y$108)+SUMIF('11.1.Амортиз.нови активи'!$B$60:$B$107,$B55,'11.1.Амортиз.нови активи'!Y$60:Y$107)+('11.1.Амортиз.нови активи'!K$111*SUMIF('11.1.Амортиз.нови активи'!$B$60:$B$107,$B55,'11.1.Амортиз.нови активи'!AF$60:AF$107))</f>
        <v>0</v>
      </c>
      <c r="Z55" s="1672"/>
      <c r="AA55" s="1703"/>
    </row>
    <row r="56" spans="1:28">
      <c r="A56" s="1690">
        <v>14</v>
      </c>
      <c r="B56" s="1692"/>
      <c r="C56" s="1692"/>
      <c r="D56" s="526" t="s">
        <v>844</v>
      </c>
      <c r="E56" s="2246">
        <v>0</v>
      </c>
      <c r="F56" s="893">
        <f>$E56-SUMIF('11.2. Нови активи отч.год.'!$B$61:$B$108,$B56,'11.2. Нови активи отч.год.'!$E$61:$E$108)+SUMIF('11.2. Нови активи отч.год.'!$B$61:$B$108,$B56,'11.2. Нови активи отч.год.'!F$61:F$108)+SUMIF('11.1.Амортиз.нови активи'!$B$60:$B$107,$B56,'11.1.Амортиз.нови активи'!F$60:F$107)+('11.1.Амортиз.нови активи'!F$109*SUMIF('11.1.Амортиз.нови активи'!$B$60:$B$107,$B56,'11.1.Амортиз.нови активи'!AA$60:AA$107))</f>
        <v>0</v>
      </c>
      <c r="G56" s="894">
        <f>$E56-SUMIF('11.2. Нови активи отч.год.'!$B$61:$B$108,$B56,'11.2. Нови активи отч.год.'!$E$61:$E$108)+SUMIF('11.2. Нови активи отч.год.'!$B$61:$B$108,$B56,'11.2. Нови активи отч.год.'!G$61:G$108)+SUMIF('11.1.Амортиз.нови активи'!$B$60:$B$107,$B56,'11.1.Амортиз.нови активи'!G$60:G$107)+('11.1.Амортиз.нови активи'!G$109*SUMIF('11.1.Амортиз.нови активи'!$B$60:$B$107,$B56,'11.1.Амортиз.нови активи'!AB$60:AB$107))</f>
        <v>0</v>
      </c>
      <c r="H56" s="894">
        <f>$E56-SUMIF('11.2. Нови активи отч.год.'!$B$61:$B$108,$B56,'11.2. Нови активи отч.год.'!$E$61:$E$108)+SUMIF('11.2. Нови активи отч.год.'!$B$61:$B$108,$B56,'11.2. Нови активи отч.год.'!H$61:H$108)+SUMIF('11.1.Амортиз.нови активи'!$B$60:$B$107,$B56,'11.1.Амортиз.нови активи'!H$60:H$107)+('11.1.Амортиз.нови активи'!H$109*SUMIF('11.1.Амортиз.нови активи'!$B$60:$B$107,$B56,'11.1.Амортиз.нови активи'!AC$60:AC$107))</f>
        <v>0</v>
      </c>
      <c r="I56" s="894">
        <f>$E56-SUMIF('11.2. Нови активи отч.год.'!$B$61:$B$108,$B56,'11.2. Нови активи отч.год.'!$E$61:$E$108)+SUMIF('11.2. Нови активи отч.год.'!$B$61:$B$108,$B56,'11.2. Нови активи отч.год.'!I$61:I$108)+SUMIF('11.1.Амортиз.нови активи'!$B$60:$B$107,$B56,'11.1.Амортиз.нови активи'!I$60:I$107)+('11.1.Амортиз.нови активи'!I$109*SUMIF('11.1.Амортиз.нови активи'!$B$60:$B$107,$B56,'11.1.Амортиз.нови активи'!AD$60:AD$107))</f>
        <v>0</v>
      </c>
      <c r="J56" s="894">
        <f>$E56-SUMIF('11.2. Нови активи отч.год.'!$B$61:$B$108,$B56,'11.2. Нови активи отч.год.'!$E$61:$E$108)+SUMIF('11.2. Нови активи отч.год.'!$B$61:$B$108,$B56,'11.2. Нови активи отч.год.'!J$61:J$108)+SUMIF('11.1.Амортиз.нови активи'!$B$60:$B$107,$B56,'11.1.Амортиз.нови активи'!J$60:J$107)+('11.1.Амортиз.нови активи'!J$109*SUMIF('11.1.Амортиз.нови активи'!$B$60:$B$107,$B56,'11.1.Амортиз.нови активи'!AE$60:AE$107))</f>
        <v>0</v>
      </c>
      <c r="K56" s="895">
        <f>$E56-SUMIF('11.2. Нови активи отч.год.'!$B$61:$B$108,$B56,'11.2. Нови активи отч.год.'!$E$61:$E$108)+SUMIF('11.2. Нови активи отч.год.'!$B$61:$B$108,$B56,'11.2. Нови активи отч.год.'!K$61:K$108)+SUMIF('11.1.Амортиз.нови активи'!$B$60:$B$107,$B56,'11.1.Амортиз.нови активи'!K$60:K$107)+('11.1.Амортиз.нови активи'!K$109*SUMIF('11.1.Амортиз.нови активи'!$B$60:$B$107,$B56,'11.1.Амортиз.нови активи'!AF$60:AF$107))</f>
        <v>0</v>
      </c>
      <c r="L56" s="2246">
        <v>0</v>
      </c>
      <c r="M56" s="893">
        <f>$L56-SUMIF('11.2. Нови активи отч.год.'!$B$61:$B$108,$B56,'11.2. Нови активи отч.год.'!$L$61:$L$108)+SUMIF('11.2. Нови активи отч.год.'!$B$61:$B$108,$B56,'11.2. Нови активи отч.год.'!M$61:M$108)+SUMIF('11.1.Амортиз.нови активи'!$B$60:$B$107,$B56,'11.1.Амортиз.нови активи'!M$60:M$107)+('11.1.Амортиз.нови активи'!F$110*SUMIF('11.1.Амортиз.нови активи'!$B$60:$B$107,$B56,'11.1.Амортиз.нови активи'!AA$60:AA$107))</f>
        <v>0</v>
      </c>
      <c r="N56" s="894">
        <f>$L56-SUMIF('11.2. Нови активи отч.год.'!$B$61:$B$108,$B56,'11.2. Нови активи отч.год.'!$L$61:$L$108)+SUMIF('11.2. Нови активи отч.год.'!$B$61:$B$108,$B56,'11.2. Нови активи отч.год.'!N$61:N$108)+SUMIF('11.1.Амортиз.нови активи'!$B$60:$B$107,$B56,'11.1.Амортиз.нови активи'!N$60:N$107)+('11.1.Амортиз.нови активи'!G$110*SUMIF('11.1.Амортиз.нови активи'!$B$60:$B$107,$B56,'11.1.Амортиз.нови активи'!AB$60:AB$107))</f>
        <v>0</v>
      </c>
      <c r="O56" s="894">
        <f>$L56-SUMIF('11.2. Нови активи отч.год.'!$B$61:$B$108,$B56,'11.2. Нови активи отч.год.'!$L$61:$L$108)+SUMIF('11.2. Нови активи отч.год.'!$B$61:$B$108,$B56,'11.2. Нови активи отч.год.'!O$61:O$108)+SUMIF('11.1.Амортиз.нови активи'!$B$60:$B$107,$B56,'11.1.Амортиз.нови активи'!O$60:O$107)+('11.1.Амортиз.нови активи'!H$110*SUMIF('11.1.Амортиз.нови активи'!$B$60:$B$107,$B56,'11.1.Амортиз.нови активи'!AC$60:AC$107))</f>
        <v>0</v>
      </c>
      <c r="P56" s="894">
        <f>$L56-SUMIF('11.2. Нови активи отч.год.'!$B$61:$B$108,$B56,'11.2. Нови активи отч.год.'!$L$61:$L$108)+SUMIF('11.2. Нови активи отч.год.'!$B$61:$B$108,$B56,'11.2. Нови активи отч.год.'!P$61:P$108)+SUMIF('11.1.Амортиз.нови активи'!$B$60:$B$107,$B56,'11.1.Амортиз.нови активи'!P$60:P$107)+('11.1.Амортиз.нови активи'!I$110*SUMIF('11.1.Амортиз.нови активи'!$B$60:$B$107,$B56,'11.1.Амортиз.нови активи'!AD$60:AD$107))</f>
        <v>0</v>
      </c>
      <c r="Q56" s="894">
        <f>$L56-SUMIF('11.2. Нови активи отч.год.'!$B$61:$B$108,$B56,'11.2. Нови активи отч.год.'!$L$61:$L$108)+SUMIF('11.2. Нови активи отч.год.'!$B$61:$B$108,$B56,'11.2. Нови активи отч.год.'!Q$61:Q$108)+SUMIF('11.1.Амортиз.нови активи'!$B$60:$B$107,$B56,'11.1.Амортиз.нови активи'!Q$60:Q$107)+('11.1.Амортиз.нови активи'!J$110*SUMIF('11.1.Амортиз.нови активи'!$B$60:$B$107,$B56,'11.1.Амортиз.нови активи'!AE$60:AE$107))</f>
        <v>0</v>
      </c>
      <c r="R56" s="895">
        <f>$L56-SUMIF('11.2. Нови активи отч.год.'!$B$61:$B$108,$B56,'11.2. Нови активи отч.год.'!$L$61:$L$108)+SUMIF('11.2. Нови активи отч.год.'!$B$61:$B$108,$B56,'11.2. Нови активи отч.год.'!R$61:R$108)+SUMIF('11.1.Амортиз.нови активи'!$B$60:$B$107,$B56,'11.1.Амортиз.нови активи'!R$60:R$107)+('11.1.Амортиз.нови активи'!K$110*SUMIF('11.1.Амортиз.нови активи'!$B$60:$B$107,$B56,'11.1.Амортиз.нови активи'!AF$60:AF$107))</f>
        <v>0</v>
      </c>
      <c r="S56" s="2246">
        <v>0</v>
      </c>
      <c r="T56" s="893">
        <f>$S56-SUMIF('11.2. Нови активи отч.год.'!$B$61:$B$108,$B56,'11.2. Нови активи отч.год.'!$S$61:$S$108)+SUMIF('11.2. Нови активи отч.год.'!$B$61:$B$108,$B56,'11.2. Нови активи отч.год.'!T$61:T$108)+SUMIF('11.1.Амортиз.нови активи'!$B$60:$B$107,$B56,'11.1.Амортиз.нови активи'!T$60:T$107)+('11.1.Амортиз.нови активи'!F$111*SUMIF('11.1.Амортиз.нови активи'!$B$60:$B$107,$B56,'11.1.Амортиз.нови активи'!AA$60:AA$107))</f>
        <v>0</v>
      </c>
      <c r="U56" s="894">
        <f>$S56-SUMIF('11.2. Нови активи отч.год.'!$B$61:$B$108,$B56,'11.2. Нови активи отч.год.'!$S$61:$S$108)+SUMIF('11.2. Нови активи отч.год.'!$B$61:$B$108,$B56,'11.2. Нови активи отч.год.'!U$61:U$108)+SUMIF('11.1.Амортиз.нови активи'!$B$60:$B$107,$B56,'11.1.Амортиз.нови активи'!U$60:U$107)+('11.1.Амортиз.нови активи'!G$111*SUMIF('11.1.Амортиз.нови активи'!$B$60:$B$107,$B56,'11.1.Амортиз.нови активи'!AB$60:AB$107))</f>
        <v>0</v>
      </c>
      <c r="V56" s="894">
        <f>$S56-SUMIF('11.2. Нови активи отч.год.'!$B$61:$B$108,$B56,'11.2. Нови активи отч.год.'!$S$61:$S$108)+SUMIF('11.2. Нови активи отч.год.'!$B$61:$B$108,$B56,'11.2. Нови активи отч.год.'!V$61:V$108)+SUMIF('11.1.Амортиз.нови активи'!$B$60:$B$107,$B56,'11.1.Амортиз.нови активи'!V$60:V$107)+('11.1.Амортиз.нови активи'!H$111*SUMIF('11.1.Амортиз.нови активи'!$B$60:$B$107,$B56,'11.1.Амортиз.нови активи'!AC$60:AC$107))</f>
        <v>0</v>
      </c>
      <c r="W56" s="894">
        <f>$S56-SUMIF('11.2. Нови активи отч.год.'!$B$61:$B$108,$B56,'11.2. Нови активи отч.год.'!$S$61:$S$108)+SUMIF('11.2. Нови активи отч.год.'!$B$61:$B$108,$B56,'11.2. Нови активи отч.год.'!W$61:W$108)+SUMIF('11.1.Амортиз.нови активи'!$B$60:$B$107,$B56,'11.1.Амортиз.нови активи'!W$60:W$107)+('11.1.Амортиз.нови активи'!I$111*SUMIF('11.1.Амортиз.нови активи'!$B$60:$B$107,$B56,'11.1.Амортиз.нови активи'!AD$60:AD$107))</f>
        <v>0</v>
      </c>
      <c r="X56" s="894">
        <f>$S56-SUMIF('11.2. Нови активи отч.год.'!$B$61:$B$108,$B56,'11.2. Нови активи отч.год.'!$S$61:$S$108)+SUMIF('11.2. Нови активи отч.год.'!$B$61:$B$108,$B56,'11.2. Нови активи отч.год.'!X$61:X$108)+SUMIF('11.1.Амортиз.нови активи'!$B$60:$B$107,$B56,'11.1.Амортиз.нови активи'!X$60:X$107)+('11.1.Амортиз.нови активи'!J$111*SUMIF('11.1.Амортиз.нови активи'!$B$60:$B$107,$B56,'11.1.Амортиз.нови активи'!AE$60:AE$107))</f>
        <v>0</v>
      </c>
      <c r="Y56" s="895">
        <f>$S56-SUMIF('11.2. Нови активи отч.год.'!$B$61:$B$108,$B56,'11.2. Нови активи отч.год.'!$S$61:$S$108)+SUMIF('11.2. Нови активи отч.год.'!$B$61:$B$108,$B56,'11.2. Нови активи отч.год.'!Y$61:Y$108)+SUMIF('11.1.Амортиз.нови активи'!$B$60:$B$107,$B56,'11.1.Амортиз.нови активи'!Y$60:Y$107)+('11.1.Амортиз.нови активи'!K$111*SUMIF('11.1.Амортиз.нови активи'!$B$60:$B$107,$B56,'11.1.Амортиз.нови активи'!AF$60:AF$107))</f>
        <v>0</v>
      </c>
      <c r="Z56" s="1672"/>
      <c r="AA56" s="1679"/>
      <c r="AB56" s="1642"/>
    </row>
    <row r="57" spans="1:28">
      <c r="A57" s="1690">
        <v>15</v>
      </c>
      <c r="B57" s="1704">
        <v>207</v>
      </c>
      <c r="C57" s="1705" t="s">
        <v>380</v>
      </c>
      <c r="D57" s="272" t="s">
        <v>587</v>
      </c>
      <c r="E57" s="2246">
        <v>0</v>
      </c>
      <c r="F57" s="893">
        <f>$E57-SUMIF('11.2. Нови активи отч.год.'!$B$61:$B$108,$B57,'11.2. Нови активи отч.год.'!$E$61:$E$108)+SUMIF('11.2. Нови активи отч.год.'!$B$61:$B$108,$B57,'11.2. Нови активи отч.год.'!F$61:F$108)+SUMIF('11.1.Амортиз.нови активи'!$B$60:$B$107,$B57,'11.1.Амортиз.нови активи'!F$60:F$107)+('11.1.Амортиз.нови активи'!F$109*SUMIF('11.1.Амортиз.нови активи'!$B$60:$B$107,$B57,'11.1.Амортиз.нови активи'!AA$60:AA$107))</f>
        <v>0</v>
      </c>
      <c r="G57" s="894">
        <f>$E57-SUMIF('11.2. Нови активи отч.год.'!$B$61:$B$108,$B57,'11.2. Нови активи отч.год.'!$E$61:$E$108)+SUMIF('11.2. Нови активи отч.год.'!$B$61:$B$108,$B57,'11.2. Нови активи отч.год.'!G$61:G$108)+SUMIF('11.1.Амортиз.нови активи'!$B$60:$B$107,$B57,'11.1.Амортиз.нови активи'!G$60:G$107)+('11.1.Амортиз.нови активи'!G$109*SUMIF('11.1.Амортиз.нови активи'!$B$60:$B$107,$B57,'11.1.Амортиз.нови активи'!AB$60:AB$107))</f>
        <v>0</v>
      </c>
      <c r="H57" s="894">
        <f>$E57-SUMIF('11.2. Нови активи отч.год.'!$B$61:$B$108,$B57,'11.2. Нови активи отч.год.'!$E$61:$E$108)+SUMIF('11.2. Нови активи отч.год.'!$B$61:$B$108,$B57,'11.2. Нови активи отч.год.'!H$61:H$108)+SUMIF('11.1.Амортиз.нови активи'!$B$60:$B$107,$B57,'11.1.Амортиз.нови активи'!H$60:H$107)+('11.1.Амортиз.нови активи'!H$109*SUMIF('11.1.Амортиз.нови активи'!$B$60:$B$107,$B57,'11.1.Амортиз.нови активи'!AC$60:AC$107))</f>
        <v>0</v>
      </c>
      <c r="I57" s="894">
        <f>$E57-SUMIF('11.2. Нови активи отч.год.'!$B$61:$B$108,$B57,'11.2. Нови активи отч.год.'!$E$61:$E$108)+SUMIF('11.2. Нови активи отч.год.'!$B$61:$B$108,$B57,'11.2. Нови активи отч.год.'!I$61:I$108)+SUMIF('11.1.Амортиз.нови активи'!$B$60:$B$107,$B57,'11.1.Амортиз.нови активи'!I$60:I$107)+('11.1.Амортиз.нови активи'!I$109*SUMIF('11.1.Амортиз.нови активи'!$B$60:$B$107,$B57,'11.1.Амортиз.нови активи'!AD$60:AD$107))</f>
        <v>0</v>
      </c>
      <c r="J57" s="894">
        <f>$E57-SUMIF('11.2. Нови активи отч.год.'!$B$61:$B$108,$B57,'11.2. Нови активи отч.год.'!$E$61:$E$108)+SUMIF('11.2. Нови активи отч.год.'!$B$61:$B$108,$B57,'11.2. Нови активи отч.год.'!J$61:J$108)+SUMIF('11.1.Амортиз.нови активи'!$B$60:$B$107,$B57,'11.1.Амортиз.нови активи'!J$60:J$107)+('11.1.Амортиз.нови активи'!J$109*SUMIF('11.1.Амортиз.нови активи'!$B$60:$B$107,$B57,'11.1.Амортиз.нови активи'!AE$60:AE$107))</f>
        <v>0</v>
      </c>
      <c r="K57" s="895">
        <f>$E57-SUMIF('11.2. Нови активи отч.год.'!$B$61:$B$108,$B57,'11.2. Нови активи отч.год.'!$E$61:$E$108)+SUMIF('11.2. Нови активи отч.год.'!$B$61:$B$108,$B57,'11.2. Нови активи отч.год.'!K$61:K$108)+SUMIF('11.1.Амортиз.нови активи'!$B$60:$B$107,$B57,'11.1.Амортиз.нови активи'!K$60:K$107)+('11.1.Амортиз.нови активи'!K$109*SUMIF('11.1.Амортиз.нови активи'!$B$60:$B$107,$B57,'11.1.Амортиз.нови активи'!AF$60:AF$107))</f>
        <v>0</v>
      </c>
      <c r="L57" s="2246">
        <v>0</v>
      </c>
      <c r="M57" s="893">
        <f>$L57-SUMIF('11.2. Нови активи отч.год.'!$B$61:$B$108,$B57,'11.2. Нови активи отч.год.'!$L$61:$L$108)+SUMIF('11.2. Нови активи отч.год.'!$B$61:$B$108,$B57,'11.2. Нови активи отч.год.'!M$61:M$108)+SUMIF('11.1.Амортиз.нови активи'!$B$60:$B$107,$B57,'11.1.Амортиз.нови активи'!M$60:M$107)+('11.1.Амортиз.нови активи'!F$110*SUMIF('11.1.Амортиз.нови активи'!$B$60:$B$107,$B57,'11.1.Амортиз.нови активи'!AA$60:AA$107))</f>
        <v>0</v>
      </c>
      <c r="N57" s="894">
        <f>$L57-SUMIF('11.2. Нови активи отч.год.'!$B$61:$B$108,$B57,'11.2. Нови активи отч.год.'!$L$61:$L$108)+SUMIF('11.2. Нови активи отч.год.'!$B$61:$B$108,$B57,'11.2. Нови активи отч.год.'!N$61:N$108)+SUMIF('11.1.Амортиз.нови активи'!$B$60:$B$107,$B57,'11.1.Амортиз.нови активи'!N$60:N$107)+('11.1.Амортиз.нови активи'!G$110*SUMIF('11.1.Амортиз.нови активи'!$B$60:$B$107,$B57,'11.1.Амортиз.нови активи'!AB$60:AB$107))</f>
        <v>0</v>
      </c>
      <c r="O57" s="894">
        <f>$L57-SUMIF('11.2. Нови активи отч.год.'!$B$61:$B$108,$B57,'11.2. Нови активи отч.год.'!$L$61:$L$108)+SUMIF('11.2. Нови активи отч.год.'!$B$61:$B$108,$B57,'11.2. Нови активи отч.год.'!O$61:O$108)+SUMIF('11.1.Амортиз.нови активи'!$B$60:$B$107,$B57,'11.1.Амортиз.нови активи'!O$60:O$107)+('11.1.Амортиз.нови активи'!H$110*SUMIF('11.1.Амортиз.нови активи'!$B$60:$B$107,$B57,'11.1.Амортиз.нови активи'!AC$60:AC$107))</f>
        <v>0</v>
      </c>
      <c r="P57" s="894">
        <f>$L57-SUMIF('11.2. Нови активи отч.год.'!$B$61:$B$108,$B57,'11.2. Нови активи отч.год.'!$L$61:$L$108)+SUMIF('11.2. Нови активи отч.год.'!$B$61:$B$108,$B57,'11.2. Нови активи отч.год.'!P$61:P$108)+SUMIF('11.1.Амортиз.нови активи'!$B$60:$B$107,$B57,'11.1.Амортиз.нови активи'!P$60:P$107)+('11.1.Амортиз.нови активи'!I$110*SUMIF('11.1.Амортиз.нови активи'!$B$60:$B$107,$B57,'11.1.Амортиз.нови активи'!AD$60:AD$107))</f>
        <v>0</v>
      </c>
      <c r="Q57" s="894">
        <f>$L57-SUMIF('11.2. Нови активи отч.год.'!$B$61:$B$108,$B57,'11.2. Нови активи отч.год.'!$L$61:$L$108)+SUMIF('11.2. Нови активи отч.год.'!$B$61:$B$108,$B57,'11.2. Нови активи отч.год.'!Q$61:Q$108)+SUMIF('11.1.Амортиз.нови активи'!$B$60:$B$107,$B57,'11.1.Амортиз.нови активи'!Q$60:Q$107)+('11.1.Амортиз.нови активи'!J$110*SUMIF('11.1.Амортиз.нови активи'!$B$60:$B$107,$B57,'11.1.Амортиз.нови активи'!AE$60:AE$107))</f>
        <v>0</v>
      </c>
      <c r="R57" s="895">
        <f>$L57-SUMIF('11.2. Нови активи отч.год.'!$B$61:$B$108,$B57,'11.2. Нови активи отч.год.'!$L$61:$L$108)+SUMIF('11.2. Нови активи отч.год.'!$B$61:$B$108,$B57,'11.2. Нови активи отч.год.'!R$61:R$108)+SUMIF('11.1.Амортиз.нови активи'!$B$60:$B$107,$B57,'11.1.Амортиз.нови активи'!R$60:R$107)+('11.1.Амортиз.нови активи'!K$110*SUMIF('11.1.Амортиз.нови активи'!$B$60:$B$107,$B57,'11.1.Амортиз.нови активи'!AF$60:AF$107))</f>
        <v>0</v>
      </c>
      <c r="S57" s="2246">
        <v>0</v>
      </c>
      <c r="T57" s="893">
        <f>$S57-SUMIF('11.2. Нови активи отч.год.'!$B$61:$B$108,$B57,'11.2. Нови активи отч.год.'!$S$61:$S$108)+SUMIF('11.2. Нови активи отч.год.'!$B$61:$B$108,$B57,'11.2. Нови активи отч.год.'!T$61:T$108)+SUMIF('11.1.Амортиз.нови активи'!$B$60:$B$107,$B57,'11.1.Амортиз.нови активи'!T$60:T$107)+('11.1.Амортиз.нови активи'!F$111*SUMIF('11.1.Амортиз.нови активи'!$B$60:$B$107,$B57,'11.1.Амортиз.нови активи'!AA$60:AA$107))</f>
        <v>0</v>
      </c>
      <c r="U57" s="894">
        <f>$S57-SUMIF('11.2. Нови активи отч.год.'!$B$61:$B$108,$B57,'11.2. Нови активи отч.год.'!$S$61:$S$108)+SUMIF('11.2. Нови активи отч.год.'!$B$61:$B$108,$B57,'11.2. Нови активи отч.год.'!U$61:U$108)+SUMIF('11.1.Амортиз.нови активи'!$B$60:$B$107,$B57,'11.1.Амортиз.нови активи'!U$60:U$107)+('11.1.Амортиз.нови активи'!G$111*SUMIF('11.1.Амортиз.нови активи'!$B$60:$B$107,$B57,'11.1.Амортиз.нови активи'!AB$60:AB$107))</f>
        <v>0</v>
      </c>
      <c r="V57" s="894">
        <f>$S57-SUMIF('11.2. Нови активи отч.год.'!$B$61:$B$108,$B57,'11.2. Нови активи отч.год.'!$S$61:$S$108)+SUMIF('11.2. Нови активи отч.год.'!$B$61:$B$108,$B57,'11.2. Нови активи отч.год.'!V$61:V$108)+SUMIF('11.1.Амортиз.нови активи'!$B$60:$B$107,$B57,'11.1.Амортиз.нови активи'!V$60:V$107)+('11.1.Амортиз.нови активи'!H$111*SUMIF('11.1.Амортиз.нови активи'!$B$60:$B$107,$B57,'11.1.Амортиз.нови активи'!AC$60:AC$107))</f>
        <v>0</v>
      </c>
      <c r="W57" s="894">
        <f>$S57-SUMIF('11.2. Нови активи отч.год.'!$B$61:$B$108,$B57,'11.2. Нови активи отч.год.'!$S$61:$S$108)+SUMIF('11.2. Нови активи отч.год.'!$B$61:$B$108,$B57,'11.2. Нови активи отч.год.'!W$61:W$108)+SUMIF('11.1.Амортиз.нови активи'!$B$60:$B$107,$B57,'11.1.Амортиз.нови активи'!W$60:W$107)+('11.1.Амортиз.нови активи'!I$111*SUMIF('11.1.Амортиз.нови активи'!$B$60:$B$107,$B57,'11.1.Амортиз.нови активи'!AD$60:AD$107))</f>
        <v>0</v>
      </c>
      <c r="X57" s="894">
        <f>$S57-SUMIF('11.2. Нови активи отч.год.'!$B$61:$B$108,$B57,'11.2. Нови активи отч.год.'!$S$61:$S$108)+SUMIF('11.2. Нови активи отч.год.'!$B$61:$B$108,$B57,'11.2. Нови активи отч.год.'!X$61:X$108)+SUMIF('11.1.Амортиз.нови активи'!$B$60:$B$107,$B57,'11.1.Амортиз.нови активи'!X$60:X$107)+('11.1.Амортиз.нови активи'!J$111*SUMIF('11.1.Амортиз.нови активи'!$B$60:$B$107,$B57,'11.1.Амортиз.нови активи'!AE$60:AE$107))</f>
        <v>0</v>
      </c>
      <c r="Y57" s="895">
        <f>$S57-SUMIF('11.2. Нови активи отч.год.'!$B$61:$B$108,$B57,'11.2. Нови активи отч.год.'!$S$61:$S$108)+SUMIF('11.2. Нови активи отч.год.'!$B$61:$B$108,$B57,'11.2. Нови активи отч.год.'!Y$61:Y$108)+SUMIF('11.1.Амортиз.нови активи'!$B$60:$B$107,$B57,'11.1.Амортиз.нови активи'!Y$60:Y$107)+('11.1.Амортиз.нови активи'!K$111*SUMIF('11.1.Амортиз.нови активи'!$B$60:$B$107,$B57,'11.1.Амортиз.нови активи'!AF$60:AF$107))</f>
        <v>0</v>
      </c>
      <c r="Z57" s="1672"/>
      <c r="AA57" s="1703"/>
    </row>
    <row r="58" spans="1:28" ht="13.5" thickBot="1">
      <c r="A58" s="1690">
        <v>16</v>
      </c>
      <c r="B58" s="1706">
        <v>219</v>
      </c>
      <c r="C58" s="1705">
        <v>0.1</v>
      </c>
      <c r="D58" s="277" t="s">
        <v>279</v>
      </c>
      <c r="E58" s="2247">
        <v>16</v>
      </c>
      <c r="F58" s="893">
        <f>$E58-SUMIF('11.2. Нови активи отч.год.'!$B$61:$B$108,$B58,'11.2. Нови активи отч.год.'!$E$61:$E$108)+SUMIF('11.2. Нови активи отч.год.'!$B$61:$B$108,$B58,'11.2. Нови активи отч.год.'!F$61:F$108)+SUMIF('11.1.Амортиз.нови активи'!$B$60:$B$107,$B58,'11.1.Амортиз.нови активи'!F$60:F$107)+('11.1.Амортиз.нови активи'!F$109*SUMIF('11.1.Амортиз.нови активи'!$B$60:$B$107,$B58,'11.1.Амортиз.нови активи'!AA$60:AA$107))</f>
        <v>17</v>
      </c>
      <c r="G58" s="894">
        <f>$E58-SUMIF('11.2. Нови активи отч.год.'!$B$61:$B$108,$B58,'11.2. Нови активи отч.год.'!$E$61:$E$108)+SUMIF('11.2. Нови активи отч.год.'!$B$61:$B$108,$B58,'11.2. Нови активи отч.год.'!G$61:G$108)+SUMIF('11.1.Амортиз.нови активи'!$B$60:$B$107,$B58,'11.1.Амортиз.нови активи'!G$60:G$107)+('11.1.Амортиз.нови активи'!G$109*SUMIF('11.1.Амортиз.нови активи'!$B$60:$B$107,$B58,'11.1.Амортиз.нови активи'!AB$60:AB$107))</f>
        <v>17</v>
      </c>
      <c r="H58" s="894">
        <f>$E58-SUMIF('11.2. Нови активи отч.год.'!$B$61:$B$108,$B58,'11.2. Нови активи отч.год.'!$E$61:$E$108)+SUMIF('11.2. Нови активи отч.год.'!$B$61:$B$108,$B58,'11.2. Нови активи отч.год.'!H$61:H$108)+SUMIF('11.1.Амортиз.нови активи'!$B$60:$B$107,$B58,'11.1.Амортиз.нови активи'!H$60:H$107)+('11.1.Амортиз.нови активи'!H$109*SUMIF('11.1.Амортиз.нови активи'!$B$60:$B$107,$B58,'11.1.Амортиз.нови активи'!AC$60:AC$107))</f>
        <v>17</v>
      </c>
      <c r="I58" s="894">
        <f>$E58-SUMIF('11.2. Нови активи отч.год.'!$B$61:$B$108,$B58,'11.2. Нови активи отч.год.'!$E$61:$E$108)+SUMIF('11.2. Нови активи отч.год.'!$B$61:$B$108,$B58,'11.2. Нови активи отч.год.'!I$61:I$108)+SUMIF('11.1.Амортиз.нови активи'!$B$60:$B$107,$B58,'11.1.Амортиз.нови активи'!I$60:I$107)+('11.1.Амортиз.нови активи'!I$109*SUMIF('11.1.Амортиз.нови активи'!$B$60:$B$107,$B58,'11.1.Амортиз.нови активи'!AD$60:AD$107))</f>
        <v>17</v>
      </c>
      <c r="J58" s="894">
        <f>$E58-SUMIF('11.2. Нови активи отч.год.'!$B$61:$B$108,$B58,'11.2. Нови активи отч.год.'!$E$61:$E$108)+SUMIF('11.2. Нови активи отч.год.'!$B$61:$B$108,$B58,'11.2. Нови активи отч.год.'!J$61:J$108)+SUMIF('11.1.Амортиз.нови активи'!$B$60:$B$107,$B58,'11.1.Амортиз.нови активи'!J$60:J$107)+('11.1.Амортиз.нови активи'!J$109*SUMIF('11.1.Амортиз.нови активи'!$B$60:$B$107,$B58,'11.1.Амортиз.нови активи'!AE$60:AE$107))</f>
        <v>16</v>
      </c>
      <c r="K58" s="895">
        <f>$E58-SUMIF('11.2. Нови активи отч.год.'!$B$61:$B$108,$B58,'11.2. Нови активи отч.год.'!$E$61:$E$108)+SUMIF('11.2. Нови активи отч.год.'!$B$61:$B$108,$B58,'11.2. Нови активи отч.год.'!K$61:K$108)+SUMIF('11.1.Амортиз.нови активи'!$B$60:$B$107,$B58,'11.1.Амортиз.нови активи'!K$60:K$107)+('11.1.Амортиз.нови активи'!K$109*SUMIF('11.1.Амортиз.нови активи'!$B$60:$B$107,$B58,'11.1.Амортиз.нови активи'!AF$60:AF$107))</f>
        <v>0</v>
      </c>
      <c r="L58" s="2247">
        <v>0</v>
      </c>
      <c r="M58" s="893">
        <f>$L58-SUMIF('11.2. Нови активи отч.год.'!$B$61:$B$108,$B58,'11.2. Нови активи отч.год.'!$L$61:$L$108)+SUMIF('11.2. Нови активи отч.год.'!$B$61:$B$108,$B58,'11.2. Нови активи отч.год.'!M$61:M$108)+SUMIF('11.1.Амортиз.нови активи'!$B$60:$B$107,$B58,'11.1.Амортиз.нови активи'!M$60:M$107)+('11.1.Амортиз.нови активи'!F$110*SUMIF('11.1.Амортиз.нови активи'!$B$60:$B$107,$B58,'11.1.Амортиз.нови активи'!AA$60:AA$107))</f>
        <v>0</v>
      </c>
      <c r="N58" s="894">
        <f>$L58-SUMIF('11.2. Нови активи отч.год.'!$B$61:$B$108,$B58,'11.2. Нови активи отч.год.'!$L$61:$L$108)+SUMIF('11.2. Нови активи отч.год.'!$B$61:$B$108,$B58,'11.2. Нови активи отч.год.'!N$61:N$108)+SUMIF('11.1.Амортиз.нови активи'!$B$60:$B$107,$B58,'11.1.Амортиз.нови активи'!N$60:N$107)+('11.1.Амортиз.нови активи'!G$110*SUMIF('11.1.Амортиз.нови активи'!$B$60:$B$107,$B58,'11.1.Амортиз.нови активи'!AB$60:AB$107))</f>
        <v>0</v>
      </c>
      <c r="O58" s="894">
        <f>$L58-SUMIF('11.2. Нови активи отч.год.'!$B$61:$B$108,$B58,'11.2. Нови активи отч.год.'!$L$61:$L$108)+SUMIF('11.2. Нови активи отч.год.'!$B$61:$B$108,$B58,'11.2. Нови активи отч.год.'!O$61:O$108)+SUMIF('11.1.Амортиз.нови активи'!$B$60:$B$107,$B58,'11.1.Амортиз.нови активи'!O$60:O$107)+('11.1.Амортиз.нови активи'!H$110*SUMIF('11.1.Амортиз.нови активи'!$B$60:$B$107,$B58,'11.1.Амортиз.нови активи'!AC$60:AC$107))</f>
        <v>0</v>
      </c>
      <c r="P58" s="894">
        <f>$L58-SUMIF('11.2. Нови активи отч.год.'!$B$61:$B$108,$B58,'11.2. Нови активи отч.год.'!$L$61:$L$108)+SUMIF('11.2. Нови активи отч.год.'!$B$61:$B$108,$B58,'11.2. Нови активи отч.год.'!P$61:P$108)+SUMIF('11.1.Амортиз.нови активи'!$B$60:$B$107,$B58,'11.1.Амортиз.нови активи'!P$60:P$107)+('11.1.Амортиз.нови активи'!I$110*SUMIF('11.1.Амортиз.нови активи'!$B$60:$B$107,$B58,'11.1.Амортиз.нови активи'!AD$60:AD$107))</f>
        <v>0</v>
      </c>
      <c r="Q58" s="894">
        <f>$L58-SUMIF('11.2. Нови активи отч.год.'!$B$61:$B$108,$B58,'11.2. Нови активи отч.год.'!$L$61:$L$108)+SUMIF('11.2. Нови активи отч.год.'!$B$61:$B$108,$B58,'11.2. Нови активи отч.год.'!Q$61:Q$108)+SUMIF('11.1.Амортиз.нови активи'!$B$60:$B$107,$B58,'11.1.Амортиз.нови активи'!Q$60:Q$107)+('11.1.Амортиз.нови активи'!J$110*SUMIF('11.1.Амортиз.нови активи'!$B$60:$B$107,$B58,'11.1.Амортиз.нови активи'!AE$60:AE$107))</f>
        <v>0</v>
      </c>
      <c r="R58" s="895">
        <f>$L58-SUMIF('11.2. Нови активи отч.год.'!$B$61:$B$108,$B58,'11.2. Нови активи отч.год.'!$L$61:$L$108)+SUMIF('11.2. Нови активи отч.год.'!$B$61:$B$108,$B58,'11.2. Нови активи отч.год.'!R$61:R$108)+SUMIF('11.1.Амортиз.нови активи'!$B$60:$B$107,$B58,'11.1.Амортиз.нови активи'!R$60:R$107)+('11.1.Амортиз.нови активи'!K$110*SUMIF('11.1.Амортиз.нови активи'!$B$60:$B$107,$B58,'11.1.Амортиз.нови активи'!AF$60:AF$107))</f>
        <v>0</v>
      </c>
      <c r="S58" s="2247">
        <v>0</v>
      </c>
      <c r="T58" s="893">
        <f>$S58-SUMIF('11.2. Нови активи отч.год.'!$B$61:$B$108,$B58,'11.2. Нови активи отч.год.'!$S$61:$S$108)+SUMIF('11.2. Нови активи отч.год.'!$B$61:$B$108,$B58,'11.2. Нови активи отч.год.'!T$61:T$108)+SUMIF('11.1.Амортиз.нови активи'!$B$60:$B$107,$B58,'11.1.Амортиз.нови активи'!T$60:T$107)+('11.1.Амортиз.нови активи'!F$111*SUMIF('11.1.Амортиз.нови активи'!$B$60:$B$107,$B58,'11.1.Амортиз.нови активи'!AA$60:AA$107))</f>
        <v>0</v>
      </c>
      <c r="U58" s="894">
        <f>$S58-SUMIF('11.2. Нови активи отч.год.'!$B$61:$B$108,$B58,'11.2. Нови активи отч.год.'!$S$61:$S$108)+SUMIF('11.2. Нови активи отч.год.'!$B$61:$B$108,$B58,'11.2. Нови активи отч.год.'!U$61:U$108)+SUMIF('11.1.Амортиз.нови активи'!$B$60:$B$107,$B58,'11.1.Амортиз.нови активи'!U$60:U$107)+('11.1.Амортиз.нови активи'!G$111*SUMIF('11.1.Амортиз.нови активи'!$B$60:$B$107,$B58,'11.1.Амортиз.нови активи'!AB$60:AB$107))</f>
        <v>0</v>
      </c>
      <c r="V58" s="894">
        <f>$S58-SUMIF('11.2. Нови активи отч.год.'!$B$61:$B$108,$B58,'11.2. Нови активи отч.год.'!$S$61:$S$108)+SUMIF('11.2. Нови активи отч.год.'!$B$61:$B$108,$B58,'11.2. Нови активи отч.год.'!V$61:V$108)+SUMIF('11.1.Амортиз.нови активи'!$B$60:$B$107,$B58,'11.1.Амортиз.нови активи'!V$60:V$107)+('11.1.Амортиз.нови активи'!H$111*SUMIF('11.1.Амортиз.нови активи'!$B$60:$B$107,$B58,'11.1.Амортиз.нови активи'!AC$60:AC$107))</f>
        <v>0</v>
      </c>
      <c r="W58" s="894">
        <f>$S58-SUMIF('11.2. Нови активи отч.год.'!$B$61:$B$108,$B58,'11.2. Нови активи отч.год.'!$S$61:$S$108)+SUMIF('11.2. Нови активи отч.год.'!$B$61:$B$108,$B58,'11.2. Нови активи отч.год.'!W$61:W$108)+SUMIF('11.1.Амортиз.нови активи'!$B$60:$B$107,$B58,'11.1.Амортиз.нови активи'!W$60:W$107)+('11.1.Амортиз.нови активи'!I$111*SUMIF('11.1.Амортиз.нови активи'!$B$60:$B$107,$B58,'11.1.Амортиз.нови активи'!AD$60:AD$107))</f>
        <v>0</v>
      </c>
      <c r="X58" s="894">
        <f>$S58-SUMIF('11.2. Нови активи отч.год.'!$B$61:$B$108,$B58,'11.2. Нови активи отч.год.'!$S$61:$S$108)+SUMIF('11.2. Нови активи отч.год.'!$B$61:$B$108,$B58,'11.2. Нови активи отч.год.'!X$61:X$108)+SUMIF('11.1.Амортиз.нови активи'!$B$60:$B$107,$B58,'11.1.Амортиз.нови активи'!X$60:X$107)+('11.1.Амортиз.нови активи'!J$111*SUMIF('11.1.Амортиз.нови активи'!$B$60:$B$107,$B58,'11.1.Амортиз.нови активи'!AE$60:AE$107))</f>
        <v>0</v>
      </c>
      <c r="Y58" s="895">
        <f>$S58-SUMIF('11.2. Нови активи отч.год.'!$B$61:$B$108,$B58,'11.2. Нови активи отч.год.'!$S$61:$S$108)+SUMIF('11.2. Нови активи отч.год.'!$B$61:$B$108,$B58,'11.2. Нови активи отч.год.'!Y$61:Y$108)+SUMIF('11.1.Амортиз.нови активи'!$B$60:$B$107,$B58,'11.1.Амортиз.нови активи'!Y$60:Y$107)+('11.1.Амортиз.нови активи'!K$111*SUMIF('11.1.Амортиз.нови активи'!$B$60:$B$107,$B58,'11.1.Амортиз.нови активи'!AF$60:AF$107))</f>
        <v>0</v>
      </c>
      <c r="Z58" s="1672"/>
      <c r="AA58" s="1703"/>
    </row>
    <row r="59" spans="1:28" ht="13.5" thickBot="1">
      <c r="A59" s="1695" t="s">
        <v>282</v>
      </c>
      <c r="B59" s="1696"/>
      <c r="C59" s="1696"/>
      <c r="D59" s="1666" t="s">
        <v>283</v>
      </c>
      <c r="E59" s="650">
        <f t="shared" ref="E59:Y59" si="11">SUM(E60:E83)-E62-E68</f>
        <v>6737</v>
      </c>
      <c r="F59" s="242">
        <f t="shared" si="11"/>
        <v>7522.6425186353244</v>
      </c>
      <c r="G59" s="243">
        <f t="shared" si="11"/>
        <v>8373.7516397860018</v>
      </c>
      <c r="H59" s="243">
        <f t="shared" si="11"/>
        <v>9227.8372225948624</v>
      </c>
      <c r="I59" s="243">
        <f t="shared" si="11"/>
        <v>10076.312534705905</v>
      </c>
      <c r="J59" s="243">
        <f t="shared" si="11"/>
        <v>10924.231911196766</v>
      </c>
      <c r="K59" s="244">
        <f t="shared" si="11"/>
        <v>11767.319689626318</v>
      </c>
      <c r="L59" s="650">
        <f t="shared" si="11"/>
        <v>649</v>
      </c>
      <c r="M59" s="242">
        <f t="shared" si="11"/>
        <v>715.421641341743</v>
      </c>
      <c r="N59" s="243">
        <f t="shared" si="11"/>
        <v>868.82515103633193</v>
      </c>
      <c r="O59" s="243">
        <f t="shared" si="11"/>
        <v>1110.7709571403066</v>
      </c>
      <c r="P59" s="243">
        <f t="shared" si="11"/>
        <v>1353.2696411820978</v>
      </c>
      <c r="Q59" s="243">
        <f t="shared" si="11"/>
        <v>1595.6463498687403</v>
      </c>
      <c r="R59" s="244">
        <f t="shared" si="11"/>
        <v>1840.9575745514082</v>
      </c>
      <c r="S59" s="650">
        <f t="shared" si="11"/>
        <v>379</v>
      </c>
      <c r="T59" s="242">
        <f t="shared" si="11"/>
        <v>412.96084002293588</v>
      </c>
      <c r="U59" s="243">
        <f t="shared" si="11"/>
        <v>446.68820917766902</v>
      </c>
      <c r="V59" s="243">
        <f t="shared" si="11"/>
        <v>499.24682026483174</v>
      </c>
      <c r="W59" s="243">
        <f t="shared" si="11"/>
        <v>571.31282411200095</v>
      </c>
      <c r="X59" s="243">
        <f t="shared" si="11"/>
        <v>639.55673893448966</v>
      </c>
      <c r="Y59" s="244">
        <f t="shared" si="11"/>
        <v>706.09773582227081</v>
      </c>
      <c r="Z59" s="1667"/>
      <c r="AA59" s="1668"/>
      <c r="AB59" s="1648"/>
    </row>
    <row r="60" spans="1:28">
      <c r="A60" s="1669">
        <v>1</v>
      </c>
      <c r="B60" s="1669">
        <v>20101</v>
      </c>
      <c r="C60" s="1705">
        <v>0</v>
      </c>
      <c r="D60" s="265" t="s">
        <v>758</v>
      </c>
      <c r="E60" s="2246">
        <v>0</v>
      </c>
      <c r="F60" s="878">
        <f t="shared" ref="F60:K61" si="12">E60+F35</f>
        <v>0</v>
      </c>
      <c r="G60" s="879">
        <f t="shared" si="12"/>
        <v>0</v>
      </c>
      <c r="H60" s="879">
        <f t="shared" si="12"/>
        <v>0</v>
      </c>
      <c r="I60" s="879">
        <f t="shared" si="12"/>
        <v>0</v>
      </c>
      <c r="J60" s="879">
        <f t="shared" si="12"/>
        <v>0</v>
      </c>
      <c r="K60" s="880">
        <f t="shared" si="12"/>
        <v>0</v>
      </c>
      <c r="L60" s="2246">
        <v>0</v>
      </c>
      <c r="M60" s="878">
        <f t="shared" ref="M60:R61" si="13">L60+M35</f>
        <v>0</v>
      </c>
      <c r="N60" s="879">
        <f t="shared" si="13"/>
        <v>0</v>
      </c>
      <c r="O60" s="879">
        <f t="shared" si="13"/>
        <v>0</v>
      </c>
      <c r="P60" s="879">
        <f t="shared" si="13"/>
        <v>0</v>
      </c>
      <c r="Q60" s="879">
        <f t="shared" si="13"/>
        <v>0</v>
      </c>
      <c r="R60" s="880">
        <f t="shared" si="13"/>
        <v>0</v>
      </c>
      <c r="S60" s="2246">
        <v>0</v>
      </c>
      <c r="T60" s="878">
        <f t="shared" ref="T60:Y61" si="14">S60+T35</f>
        <v>0</v>
      </c>
      <c r="U60" s="879">
        <f t="shared" si="14"/>
        <v>0</v>
      </c>
      <c r="V60" s="879">
        <f t="shared" si="14"/>
        <v>0</v>
      </c>
      <c r="W60" s="879">
        <f t="shared" si="14"/>
        <v>0</v>
      </c>
      <c r="X60" s="879">
        <f t="shared" si="14"/>
        <v>0</v>
      </c>
      <c r="Y60" s="880">
        <f t="shared" si="14"/>
        <v>0</v>
      </c>
      <c r="Z60" s="1672"/>
      <c r="AA60" s="1673"/>
      <c r="AB60" s="1642"/>
    </row>
    <row r="61" spans="1:28">
      <c r="A61" s="1674">
        <v>2</v>
      </c>
      <c r="B61" s="1674">
        <v>20201</v>
      </c>
      <c r="C61" s="1707">
        <v>0.03</v>
      </c>
      <c r="D61" s="268" t="s">
        <v>597</v>
      </c>
      <c r="E61" s="2747">
        <v>688</v>
      </c>
      <c r="F61" s="881">
        <f t="shared" si="12"/>
        <v>784.56655533256878</v>
      </c>
      <c r="G61" s="882">
        <f t="shared" si="12"/>
        <v>885.10422039403124</v>
      </c>
      <c r="H61" s="882">
        <f t="shared" si="12"/>
        <v>986.67952516168361</v>
      </c>
      <c r="I61" s="882">
        <f t="shared" si="12"/>
        <v>1091.1326243960216</v>
      </c>
      <c r="J61" s="882">
        <f t="shared" si="12"/>
        <v>1198.8627537641548</v>
      </c>
      <c r="K61" s="883">
        <f t="shared" si="12"/>
        <v>1309.9098418024791</v>
      </c>
      <c r="L61" s="2747">
        <v>5</v>
      </c>
      <c r="M61" s="881">
        <f t="shared" si="13"/>
        <v>5.1164119839449542</v>
      </c>
      <c r="N61" s="882">
        <f t="shared" si="13"/>
        <v>8.4224777550766241</v>
      </c>
      <c r="O61" s="882">
        <f t="shared" si="13"/>
        <v>14.463232130453811</v>
      </c>
      <c r="P61" s="882">
        <f t="shared" si="13"/>
        <v>21.198787141203255</v>
      </c>
      <c r="Q61" s="882">
        <f t="shared" si="13"/>
        <v>28.780413906303458</v>
      </c>
      <c r="R61" s="883">
        <f t="shared" si="13"/>
        <v>37.155504584310982</v>
      </c>
      <c r="S61" s="2747">
        <v>14</v>
      </c>
      <c r="T61" s="881">
        <f t="shared" si="14"/>
        <v>16.372032683486239</v>
      </c>
      <c r="U61" s="882">
        <f t="shared" si="14"/>
        <v>18.858301850892143</v>
      </c>
      <c r="V61" s="882">
        <f t="shared" si="14"/>
        <v>22.072242707862571</v>
      </c>
      <c r="W61" s="882">
        <f t="shared" si="14"/>
        <v>26.213588462775256</v>
      </c>
      <c r="X61" s="882">
        <f t="shared" si="14"/>
        <v>30.731832329541749</v>
      </c>
      <c r="Y61" s="883">
        <f t="shared" si="14"/>
        <v>35.63965361320993</v>
      </c>
      <c r="Z61" s="1672"/>
      <c r="AA61" s="1677"/>
      <c r="AB61" s="1642"/>
    </row>
    <row r="62" spans="1:28" ht="24.75" customHeight="1">
      <c r="A62" s="1674">
        <v>3</v>
      </c>
      <c r="B62" s="1675">
        <v>203</v>
      </c>
      <c r="C62" s="1671"/>
      <c r="D62" s="1624" t="s">
        <v>577</v>
      </c>
      <c r="E62" s="1678">
        <f>SUM(E63:E66)</f>
        <v>2932</v>
      </c>
      <c r="F62" s="958">
        <f t="shared" ref="F62:Y62" si="15">SUM(F63:F66)</f>
        <v>3324.1499999999996</v>
      </c>
      <c r="G62" s="954">
        <f t="shared" si="15"/>
        <v>3754.3999999999996</v>
      </c>
      <c r="H62" s="954">
        <f t="shared" si="15"/>
        <v>4184.55</v>
      </c>
      <c r="I62" s="954">
        <f t="shared" si="15"/>
        <v>4604.5999999999995</v>
      </c>
      <c r="J62" s="954">
        <f t="shared" si="15"/>
        <v>5028.5499999999993</v>
      </c>
      <c r="K62" s="954">
        <f t="shared" si="15"/>
        <v>5456.4</v>
      </c>
      <c r="L62" s="1678">
        <f>SUM(L63:L66)</f>
        <v>44</v>
      </c>
      <c r="M62" s="958">
        <f t="shared" si="15"/>
        <v>49</v>
      </c>
      <c r="N62" s="954">
        <f t="shared" si="15"/>
        <v>65</v>
      </c>
      <c r="O62" s="954">
        <f t="shared" si="15"/>
        <v>92</v>
      </c>
      <c r="P62" s="954">
        <f t="shared" si="15"/>
        <v>117</v>
      </c>
      <c r="Q62" s="954">
        <f t="shared" si="15"/>
        <v>139</v>
      </c>
      <c r="R62" s="954">
        <f t="shared" si="15"/>
        <v>161</v>
      </c>
      <c r="S62" s="1678">
        <f>SUM(S63:S66)</f>
        <v>172</v>
      </c>
      <c r="T62" s="958">
        <f t="shared" si="15"/>
        <v>193.5</v>
      </c>
      <c r="U62" s="954">
        <f t="shared" si="15"/>
        <v>217.5</v>
      </c>
      <c r="V62" s="954">
        <f t="shared" si="15"/>
        <v>249.5</v>
      </c>
      <c r="W62" s="954">
        <f t="shared" si="15"/>
        <v>288.5</v>
      </c>
      <c r="X62" s="954">
        <f t="shared" si="15"/>
        <v>323.5</v>
      </c>
      <c r="Y62" s="957">
        <f t="shared" si="15"/>
        <v>360.5</v>
      </c>
      <c r="Z62" s="1672"/>
      <c r="AA62" s="1702"/>
      <c r="AB62" s="1642"/>
    </row>
    <row r="63" spans="1:28">
      <c r="A63" s="1674"/>
      <c r="B63" s="1675">
        <v>20301</v>
      </c>
      <c r="C63" s="1680">
        <v>0.1</v>
      </c>
      <c r="D63" s="1625" t="s">
        <v>599</v>
      </c>
      <c r="E63" s="2246">
        <v>228</v>
      </c>
      <c r="F63" s="881">
        <f t="shared" ref="F63:K67" si="16">E63+F38</f>
        <v>276.5</v>
      </c>
      <c r="G63" s="882">
        <f t="shared" si="16"/>
        <v>325</v>
      </c>
      <c r="H63" s="882">
        <f t="shared" si="16"/>
        <v>373.5</v>
      </c>
      <c r="I63" s="882">
        <f t="shared" si="16"/>
        <v>422</v>
      </c>
      <c r="J63" s="882">
        <f t="shared" si="16"/>
        <v>470.5</v>
      </c>
      <c r="K63" s="883">
        <f t="shared" si="16"/>
        <v>519</v>
      </c>
      <c r="L63" s="2246">
        <v>3</v>
      </c>
      <c r="M63" s="881">
        <f t="shared" ref="M63:R67" si="17">L63+M38</f>
        <v>3</v>
      </c>
      <c r="N63" s="882">
        <f t="shared" si="17"/>
        <v>3</v>
      </c>
      <c r="O63" s="882">
        <f t="shared" si="17"/>
        <v>3</v>
      </c>
      <c r="P63" s="882">
        <f t="shared" si="17"/>
        <v>3</v>
      </c>
      <c r="Q63" s="882">
        <f t="shared" si="17"/>
        <v>3</v>
      </c>
      <c r="R63" s="883">
        <f t="shared" si="17"/>
        <v>3</v>
      </c>
      <c r="S63" s="2246">
        <v>6</v>
      </c>
      <c r="T63" s="881">
        <f t="shared" ref="T63:Y67" si="18">S63+T38</f>
        <v>8</v>
      </c>
      <c r="U63" s="882">
        <f t="shared" si="18"/>
        <v>10</v>
      </c>
      <c r="V63" s="882">
        <f t="shared" si="18"/>
        <v>12</v>
      </c>
      <c r="W63" s="882">
        <f t="shared" si="18"/>
        <v>14</v>
      </c>
      <c r="X63" s="882">
        <f t="shared" si="18"/>
        <v>16</v>
      </c>
      <c r="Y63" s="883">
        <f t="shared" si="18"/>
        <v>18</v>
      </c>
      <c r="Z63" s="1672"/>
      <c r="AA63" s="1702"/>
      <c r="AB63" s="1642"/>
    </row>
    <row r="64" spans="1:28">
      <c r="A64" s="1674"/>
      <c r="B64" s="1675">
        <v>20302</v>
      </c>
      <c r="C64" s="1680">
        <v>0.1</v>
      </c>
      <c r="D64" s="1625" t="s">
        <v>600</v>
      </c>
      <c r="E64" s="2246">
        <v>210</v>
      </c>
      <c r="F64" s="881">
        <f t="shared" si="16"/>
        <v>227.9</v>
      </c>
      <c r="G64" s="882">
        <f t="shared" si="16"/>
        <v>245.8</v>
      </c>
      <c r="H64" s="882">
        <f t="shared" si="16"/>
        <v>259.7</v>
      </c>
      <c r="I64" s="882">
        <f t="shared" si="16"/>
        <v>259.59999999999997</v>
      </c>
      <c r="J64" s="882">
        <f t="shared" si="16"/>
        <v>259.49999999999994</v>
      </c>
      <c r="K64" s="883">
        <f t="shared" si="16"/>
        <v>259.39999999999992</v>
      </c>
      <c r="L64" s="2246">
        <v>1</v>
      </c>
      <c r="M64" s="881">
        <f t="shared" si="17"/>
        <v>1</v>
      </c>
      <c r="N64" s="882">
        <f t="shared" si="17"/>
        <v>1</v>
      </c>
      <c r="O64" s="882">
        <f t="shared" si="17"/>
        <v>1</v>
      </c>
      <c r="P64" s="882">
        <f t="shared" si="17"/>
        <v>1</v>
      </c>
      <c r="Q64" s="882">
        <f t="shared" si="17"/>
        <v>1</v>
      </c>
      <c r="R64" s="883">
        <f t="shared" si="17"/>
        <v>1</v>
      </c>
      <c r="S64" s="2246">
        <v>4</v>
      </c>
      <c r="T64" s="881">
        <f t="shared" si="18"/>
        <v>5.4</v>
      </c>
      <c r="U64" s="882">
        <f t="shared" si="18"/>
        <v>6.8000000000000007</v>
      </c>
      <c r="V64" s="882">
        <f t="shared" si="18"/>
        <v>7.2000000000000011</v>
      </c>
      <c r="W64" s="882">
        <f t="shared" si="18"/>
        <v>6.6000000000000014</v>
      </c>
      <c r="X64" s="882">
        <f t="shared" si="18"/>
        <v>6.0000000000000018</v>
      </c>
      <c r="Y64" s="883">
        <f t="shared" si="18"/>
        <v>5.4000000000000021</v>
      </c>
      <c r="Z64" s="1672"/>
      <c r="AA64" s="1702"/>
      <c r="AB64" s="1642"/>
    </row>
    <row r="65" spans="1:28">
      <c r="A65" s="1674"/>
      <c r="B65" s="1675">
        <v>20303</v>
      </c>
      <c r="C65" s="1671">
        <v>0.1</v>
      </c>
      <c r="D65" s="1625" t="s">
        <v>578</v>
      </c>
      <c r="E65" s="2246">
        <v>1643</v>
      </c>
      <c r="F65" s="881">
        <f t="shared" si="16"/>
        <v>1869.45</v>
      </c>
      <c r="G65" s="882">
        <f t="shared" si="16"/>
        <v>2107.15</v>
      </c>
      <c r="H65" s="882">
        <f t="shared" si="16"/>
        <v>2346.85</v>
      </c>
      <c r="I65" s="882">
        <f t="shared" si="16"/>
        <v>2588.5499999999997</v>
      </c>
      <c r="J65" s="882">
        <f t="shared" si="16"/>
        <v>2832.2499999999995</v>
      </c>
      <c r="K65" s="883">
        <f t="shared" si="16"/>
        <v>3077.9499999999994</v>
      </c>
      <c r="L65" s="2246">
        <v>35</v>
      </c>
      <c r="M65" s="881">
        <f t="shared" si="17"/>
        <v>40</v>
      </c>
      <c r="N65" s="882">
        <f t="shared" si="17"/>
        <v>56</v>
      </c>
      <c r="O65" s="882">
        <f t="shared" si="17"/>
        <v>83</v>
      </c>
      <c r="P65" s="882">
        <f t="shared" si="17"/>
        <v>108</v>
      </c>
      <c r="Q65" s="882">
        <f t="shared" si="17"/>
        <v>130</v>
      </c>
      <c r="R65" s="883">
        <f t="shared" si="17"/>
        <v>152</v>
      </c>
      <c r="S65" s="2246">
        <v>146</v>
      </c>
      <c r="T65" s="881">
        <f t="shared" si="18"/>
        <v>158</v>
      </c>
      <c r="U65" s="882">
        <f t="shared" si="18"/>
        <v>171.5</v>
      </c>
      <c r="V65" s="882">
        <f t="shared" si="18"/>
        <v>193</v>
      </c>
      <c r="W65" s="882">
        <f t="shared" si="18"/>
        <v>222.5</v>
      </c>
      <c r="X65" s="882">
        <f t="shared" si="18"/>
        <v>253</v>
      </c>
      <c r="Y65" s="883">
        <f t="shared" si="18"/>
        <v>284.5</v>
      </c>
      <c r="Z65" s="1672"/>
      <c r="AA65" s="1702"/>
      <c r="AB65" s="1642"/>
    </row>
    <row r="66" spans="1:28">
      <c r="A66" s="1674"/>
      <c r="B66" s="1675">
        <v>20306</v>
      </c>
      <c r="C66" s="1671">
        <v>0.1</v>
      </c>
      <c r="D66" s="1625" t="s">
        <v>581</v>
      </c>
      <c r="E66" s="2246">
        <v>851</v>
      </c>
      <c r="F66" s="881">
        <f t="shared" si="16"/>
        <v>950.3</v>
      </c>
      <c r="G66" s="882">
        <f t="shared" si="16"/>
        <v>1076.45</v>
      </c>
      <c r="H66" s="882">
        <f t="shared" si="16"/>
        <v>1204.5</v>
      </c>
      <c r="I66" s="882">
        <f t="shared" si="16"/>
        <v>1334.45</v>
      </c>
      <c r="J66" s="882">
        <f t="shared" si="16"/>
        <v>1466.3000000000002</v>
      </c>
      <c r="K66" s="883">
        <f t="shared" si="16"/>
        <v>1600.0500000000002</v>
      </c>
      <c r="L66" s="2246">
        <v>5</v>
      </c>
      <c r="M66" s="881">
        <f t="shared" si="17"/>
        <v>5</v>
      </c>
      <c r="N66" s="882">
        <f t="shared" si="17"/>
        <v>5</v>
      </c>
      <c r="O66" s="882">
        <f t="shared" si="17"/>
        <v>5</v>
      </c>
      <c r="P66" s="882">
        <f t="shared" si="17"/>
        <v>5</v>
      </c>
      <c r="Q66" s="882">
        <f t="shared" si="17"/>
        <v>5</v>
      </c>
      <c r="R66" s="883">
        <f t="shared" si="17"/>
        <v>5</v>
      </c>
      <c r="S66" s="2246">
        <v>16</v>
      </c>
      <c r="T66" s="881">
        <f t="shared" si="18"/>
        <v>22.1</v>
      </c>
      <c r="U66" s="882">
        <f t="shared" si="18"/>
        <v>29.200000000000003</v>
      </c>
      <c r="V66" s="882">
        <f t="shared" si="18"/>
        <v>37.300000000000004</v>
      </c>
      <c r="W66" s="882">
        <f t="shared" si="18"/>
        <v>45.400000000000006</v>
      </c>
      <c r="X66" s="882">
        <f t="shared" si="18"/>
        <v>48.500000000000007</v>
      </c>
      <c r="Y66" s="883">
        <f t="shared" si="18"/>
        <v>52.600000000000009</v>
      </c>
      <c r="Z66" s="1672"/>
      <c r="AA66" s="1703"/>
    </row>
    <row r="67" spans="1:28">
      <c r="A67" s="1674">
        <v>4</v>
      </c>
      <c r="B67" s="1675">
        <v>20403</v>
      </c>
      <c r="C67" s="1680">
        <v>0.04</v>
      </c>
      <c r="D67" s="1626" t="s">
        <v>606</v>
      </c>
      <c r="E67" s="2246">
        <v>363</v>
      </c>
      <c r="F67" s="881">
        <f t="shared" si="16"/>
        <v>377.88</v>
      </c>
      <c r="G67" s="882">
        <f t="shared" si="16"/>
        <v>392.76</v>
      </c>
      <c r="H67" s="882">
        <f t="shared" si="16"/>
        <v>407.64</v>
      </c>
      <c r="I67" s="882">
        <f t="shared" si="16"/>
        <v>422.52</v>
      </c>
      <c r="J67" s="882">
        <f t="shared" si="16"/>
        <v>437.4</v>
      </c>
      <c r="K67" s="883">
        <f t="shared" si="16"/>
        <v>452.28</v>
      </c>
      <c r="L67" s="2246">
        <v>0</v>
      </c>
      <c r="M67" s="881">
        <f t="shared" si="17"/>
        <v>0.08</v>
      </c>
      <c r="N67" s="882">
        <f t="shared" si="17"/>
        <v>0.16</v>
      </c>
      <c r="O67" s="882">
        <f t="shared" si="17"/>
        <v>0.24</v>
      </c>
      <c r="P67" s="882">
        <f t="shared" si="17"/>
        <v>0.32</v>
      </c>
      <c r="Q67" s="882">
        <f t="shared" si="17"/>
        <v>0.4</v>
      </c>
      <c r="R67" s="883">
        <f t="shared" si="17"/>
        <v>0.48000000000000004</v>
      </c>
      <c r="S67" s="2246">
        <v>1</v>
      </c>
      <c r="T67" s="881">
        <f t="shared" si="18"/>
        <v>2.12</v>
      </c>
      <c r="U67" s="882">
        <f t="shared" si="18"/>
        <v>3.24</v>
      </c>
      <c r="V67" s="882">
        <f t="shared" si="18"/>
        <v>4.3600000000000003</v>
      </c>
      <c r="W67" s="882">
        <f t="shared" si="18"/>
        <v>5.48</v>
      </c>
      <c r="X67" s="882">
        <f t="shared" si="18"/>
        <v>6.6000000000000005</v>
      </c>
      <c r="Y67" s="883">
        <f t="shared" si="18"/>
        <v>7.7200000000000006</v>
      </c>
      <c r="Z67" s="1672"/>
      <c r="AA67" s="1703"/>
    </row>
    <row r="68" spans="1:28">
      <c r="A68" s="1674">
        <v>5</v>
      </c>
      <c r="B68" s="1675">
        <v>205</v>
      </c>
      <c r="C68" s="1671"/>
      <c r="D68" s="1624" t="s">
        <v>275</v>
      </c>
      <c r="E68" s="1683">
        <f>SUM(E69:E72)</f>
        <v>2086</v>
      </c>
      <c r="F68" s="958">
        <f>SUM(F69:F72)</f>
        <v>2301.2399999999998</v>
      </c>
      <c r="G68" s="954">
        <f>SUM(G69:G72)</f>
        <v>2538.02</v>
      </c>
      <c r="H68" s="954">
        <f t="shared" ref="H68:K68" si="19">SUM(H69:H72)</f>
        <v>2788</v>
      </c>
      <c r="I68" s="954">
        <f t="shared" si="19"/>
        <v>3041.78</v>
      </c>
      <c r="J68" s="954">
        <f t="shared" si="19"/>
        <v>3283.16</v>
      </c>
      <c r="K68" s="954">
        <f t="shared" si="19"/>
        <v>3532.04</v>
      </c>
      <c r="L68" s="1683">
        <f>SUM(L69:L72)</f>
        <v>594</v>
      </c>
      <c r="M68" s="958">
        <f>SUM(M69:M72)</f>
        <v>654.20000000000005</v>
      </c>
      <c r="N68" s="954">
        <f>SUM(N69:N72)</f>
        <v>784.4</v>
      </c>
      <c r="O68" s="954">
        <f t="shared" ref="O68:R68" si="20">SUM(O69:O72)</f>
        <v>984.6</v>
      </c>
      <c r="P68" s="954">
        <f t="shared" si="20"/>
        <v>1184.8</v>
      </c>
      <c r="Q68" s="954">
        <f t="shared" si="20"/>
        <v>1385</v>
      </c>
      <c r="R68" s="954">
        <f t="shared" si="20"/>
        <v>1585.2</v>
      </c>
      <c r="S68" s="1683">
        <f>SUM(S69:S72)</f>
        <v>163</v>
      </c>
      <c r="T68" s="958">
        <f>SUM(T69:T72)</f>
        <v>169.2</v>
      </c>
      <c r="U68" s="954">
        <f>SUM(U69:U72)</f>
        <v>175.4</v>
      </c>
      <c r="V68" s="954">
        <f t="shared" ref="V68:Y68" si="21">SUM(V69:V72)</f>
        <v>191.60000000000002</v>
      </c>
      <c r="W68" s="954">
        <f t="shared" si="21"/>
        <v>217.8</v>
      </c>
      <c r="X68" s="954">
        <f t="shared" si="21"/>
        <v>243</v>
      </c>
      <c r="Y68" s="957">
        <f t="shared" si="21"/>
        <v>263.20000000000005</v>
      </c>
      <c r="Z68" s="1672"/>
      <c r="AA68" s="1703"/>
    </row>
    <row r="69" spans="1:28">
      <c r="A69" s="1687"/>
      <c r="B69" s="1688">
        <v>20501</v>
      </c>
      <c r="C69" s="1671">
        <v>0.08</v>
      </c>
      <c r="D69" s="1627" t="s">
        <v>582</v>
      </c>
      <c r="E69" s="2246">
        <v>1158</v>
      </c>
      <c r="F69" s="881">
        <f t="shared" ref="F69:K73" si="22">E69+F44</f>
        <v>1290.8399999999999</v>
      </c>
      <c r="G69" s="882">
        <f t="shared" si="22"/>
        <v>1437.52</v>
      </c>
      <c r="H69" s="882">
        <f t="shared" si="22"/>
        <v>1591.4</v>
      </c>
      <c r="I69" s="882">
        <f t="shared" si="22"/>
        <v>1752.0800000000002</v>
      </c>
      <c r="J69" s="882">
        <f t="shared" si="22"/>
        <v>1918.3600000000001</v>
      </c>
      <c r="K69" s="883">
        <f t="shared" si="22"/>
        <v>2088.6400000000003</v>
      </c>
      <c r="L69" s="2246">
        <v>573</v>
      </c>
      <c r="M69" s="881">
        <f t="shared" ref="M69:R74" si="23">L69+M44</f>
        <v>633</v>
      </c>
      <c r="N69" s="882">
        <f t="shared" si="23"/>
        <v>703</v>
      </c>
      <c r="O69" s="882">
        <f t="shared" si="23"/>
        <v>783</v>
      </c>
      <c r="P69" s="882">
        <f t="shared" si="23"/>
        <v>863</v>
      </c>
      <c r="Q69" s="882">
        <f t="shared" si="23"/>
        <v>943</v>
      </c>
      <c r="R69" s="883">
        <f t="shared" si="23"/>
        <v>1023</v>
      </c>
      <c r="S69" s="2246">
        <v>62</v>
      </c>
      <c r="T69" s="881">
        <f t="shared" ref="T69:Y74" si="24">S69+T44</f>
        <v>62</v>
      </c>
      <c r="U69" s="882">
        <f t="shared" si="24"/>
        <v>62</v>
      </c>
      <c r="V69" s="882">
        <f t="shared" si="24"/>
        <v>72</v>
      </c>
      <c r="W69" s="882">
        <f t="shared" si="24"/>
        <v>92</v>
      </c>
      <c r="X69" s="882">
        <f t="shared" si="24"/>
        <v>112</v>
      </c>
      <c r="Y69" s="883">
        <f t="shared" si="24"/>
        <v>132</v>
      </c>
      <c r="Z69" s="1672"/>
      <c r="AA69" s="1703"/>
    </row>
    <row r="70" spans="1:28">
      <c r="A70" s="1687"/>
      <c r="B70" s="1688">
        <v>20502</v>
      </c>
      <c r="C70" s="1671">
        <v>0.1</v>
      </c>
      <c r="D70" s="1627" t="s">
        <v>583</v>
      </c>
      <c r="E70" s="2246">
        <v>563</v>
      </c>
      <c r="F70" s="881">
        <f t="shared" si="22"/>
        <v>614.20000000000005</v>
      </c>
      <c r="G70" s="882">
        <f t="shared" si="22"/>
        <v>673.1</v>
      </c>
      <c r="H70" s="882">
        <f t="shared" si="22"/>
        <v>738</v>
      </c>
      <c r="I70" s="882">
        <f t="shared" si="22"/>
        <v>808.9</v>
      </c>
      <c r="J70" s="882">
        <f t="shared" si="22"/>
        <v>883.8</v>
      </c>
      <c r="K70" s="883">
        <f t="shared" si="22"/>
        <v>962.19999999999993</v>
      </c>
      <c r="L70" s="2246">
        <v>13</v>
      </c>
      <c r="M70" s="881">
        <f t="shared" si="23"/>
        <v>13.2</v>
      </c>
      <c r="N70" s="882">
        <f t="shared" si="23"/>
        <v>13.399999999999999</v>
      </c>
      <c r="O70" s="882">
        <f t="shared" si="23"/>
        <v>13.599999999999998</v>
      </c>
      <c r="P70" s="882">
        <f t="shared" si="23"/>
        <v>13.799999999999997</v>
      </c>
      <c r="Q70" s="882">
        <f t="shared" si="23"/>
        <v>13.999999999999996</v>
      </c>
      <c r="R70" s="883">
        <f t="shared" si="23"/>
        <v>14.199999999999996</v>
      </c>
      <c r="S70" s="2246">
        <v>82</v>
      </c>
      <c r="T70" s="881">
        <f t="shared" si="24"/>
        <v>88.2</v>
      </c>
      <c r="U70" s="882">
        <f t="shared" si="24"/>
        <v>94.4</v>
      </c>
      <c r="V70" s="882">
        <f t="shared" si="24"/>
        <v>100.60000000000001</v>
      </c>
      <c r="W70" s="882">
        <f t="shared" si="24"/>
        <v>106.80000000000001</v>
      </c>
      <c r="X70" s="882">
        <f t="shared" si="24"/>
        <v>112.00000000000001</v>
      </c>
      <c r="Y70" s="883">
        <f t="shared" si="24"/>
        <v>112.20000000000002</v>
      </c>
      <c r="Z70" s="1672"/>
      <c r="AA70" s="1703"/>
    </row>
    <row r="71" spans="1:28">
      <c r="A71" s="1687"/>
      <c r="B71" s="1688">
        <v>20503</v>
      </c>
      <c r="C71" s="1671">
        <v>0.1</v>
      </c>
      <c r="D71" s="1625" t="s">
        <v>584</v>
      </c>
      <c r="E71" s="2246">
        <v>285</v>
      </c>
      <c r="F71" s="881">
        <f t="shared" si="22"/>
        <v>316</v>
      </c>
      <c r="G71" s="882">
        <f t="shared" si="22"/>
        <v>347</v>
      </c>
      <c r="H71" s="882">
        <f t="shared" si="22"/>
        <v>378</v>
      </c>
      <c r="I71" s="882">
        <f t="shared" si="22"/>
        <v>400</v>
      </c>
      <c r="J71" s="882">
        <f t="shared" si="22"/>
        <v>400</v>
      </c>
      <c r="K71" s="883">
        <f t="shared" si="22"/>
        <v>400</v>
      </c>
      <c r="L71" s="2246">
        <v>6</v>
      </c>
      <c r="M71" s="881">
        <f t="shared" si="23"/>
        <v>6</v>
      </c>
      <c r="N71" s="882">
        <f t="shared" si="23"/>
        <v>66</v>
      </c>
      <c r="O71" s="882">
        <f t="shared" si="23"/>
        <v>186</v>
      </c>
      <c r="P71" s="882">
        <f t="shared" si="23"/>
        <v>306</v>
      </c>
      <c r="Q71" s="882">
        <f t="shared" si="23"/>
        <v>426</v>
      </c>
      <c r="R71" s="883">
        <f t="shared" si="23"/>
        <v>546</v>
      </c>
      <c r="S71" s="2246">
        <v>15</v>
      </c>
      <c r="T71" s="881">
        <f t="shared" si="24"/>
        <v>15</v>
      </c>
      <c r="U71" s="882">
        <f t="shared" si="24"/>
        <v>15</v>
      </c>
      <c r="V71" s="882">
        <f t="shared" si="24"/>
        <v>15</v>
      </c>
      <c r="W71" s="882">
        <f t="shared" si="24"/>
        <v>15</v>
      </c>
      <c r="X71" s="882">
        <f t="shared" si="24"/>
        <v>15</v>
      </c>
      <c r="Y71" s="883">
        <f t="shared" si="24"/>
        <v>15</v>
      </c>
      <c r="Z71" s="1672"/>
      <c r="AA71" s="1703"/>
    </row>
    <row r="72" spans="1:28">
      <c r="A72" s="1687"/>
      <c r="B72" s="1688">
        <v>20504</v>
      </c>
      <c r="C72" s="1671">
        <v>0.1</v>
      </c>
      <c r="D72" s="1625" t="s">
        <v>759</v>
      </c>
      <c r="E72" s="2246">
        <v>80</v>
      </c>
      <c r="F72" s="881">
        <f t="shared" si="22"/>
        <v>80.2</v>
      </c>
      <c r="G72" s="882">
        <f t="shared" si="22"/>
        <v>80.400000000000006</v>
      </c>
      <c r="H72" s="882">
        <f t="shared" si="22"/>
        <v>80.600000000000009</v>
      </c>
      <c r="I72" s="882">
        <f t="shared" si="22"/>
        <v>80.800000000000011</v>
      </c>
      <c r="J72" s="882">
        <f t="shared" si="22"/>
        <v>81.000000000000014</v>
      </c>
      <c r="K72" s="883">
        <f t="shared" si="22"/>
        <v>81.200000000000017</v>
      </c>
      <c r="L72" s="2246">
        <v>2</v>
      </c>
      <c r="M72" s="881">
        <f t="shared" si="23"/>
        <v>2</v>
      </c>
      <c r="N72" s="882">
        <f t="shared" si="23"/>
        <v>2</v>
      </c>
      <c r="O72" s="882">
        <f t="shared" si="23"/>
        <v>2</v>
      </c>
      <c r="P72" s="882">
        <f t="shared" si="23"/>
        <v>2</v>
      </c>
      <c r="Q72" s="882">
        <f t="shared" si="23"/>
        <v>2</v>
      </c>
      <c r="R72" s="883">
        <f t="shared" si="23"/>
        <v>2</v>
      </c>
      <c r="S72" s="2246">
        <v>4</v>
      </c>
      <c r="T72" s="881">
        <f t="shared" si="24"/>
        <v>4</v>
      </c>
      <c r="U72" s="882">
        <f t="shared" si="24"/>
        <v>4</v>
      </c>
      <c r="V72" s="882">
        <f t="shared" si="24"/>
        <v>4</v>
      </c>
      <c r="W72" s="882">
        <f t="shared" si="24"/>
        <v>4</v>
      </c>
      <c r="X72" s="882">
        <f t="shared" si="24"/>
        <v>4</v>
      </c>
      <c r="Y72" s="883">
        <f t="shared" si="24"/>
        <v>4</v>
      </c>
      <c r="Z72" s="1672"/>
      <c r="AA72" s="1703"/>
    </row>
    <row r="73" spans="1:28">
      <c r="A73" s="1687">
        <v>6</v>
      </c>
      <c r="B73" s="1688">
        <v>208</v>
      </c>
      <c r="C73" s="1671">
        <v>0.2</v>
      </c>
      <c r="D73" s="1626" t="s">
        <v>585</v>
      </c>
      <c r="E73" s="2246">
        <v>181</v>
      </c>
      <c r="F73" s="881">
        <f t="shared" si="22"/>
        <v>201.8</v>
      </c>
      <c r="G73" s="882">
        <f t="shared" si="22"/>
        <v>222.60000000000002</v>
      </c>
      <c r="H73" s="882">
        <f t="shared" si="22"/>
        <v>229.40000000000003</v>
      </c>
      <c r="I73" s="882">
        <f t="shared" si="22"/>
        <v>229.20000000000005</v>
      </c>
      <c r="J73" s="882">
        <f t="shared" si="22"/>
        <v>229.00000000000006</v>
      </c>
      <c r="K73" s="883">
        <f t="shared" si="22"/>
        <v>228.80000000000007</v>
      </c>
      <c r="L73" s="2246">
        <v>2</v>
      </c>
      <c r="M73" s="881">
        <f t="shared" si="23"/>
        <v>3</v>
      </c>
      <c r="N73" s="882">
        <f t="shared" si="23"/>
        <v>3</v>
      </c>
      <c r="O73" s="882">
        <f t="shared" si="23"/>
        <v>3</v>
      </c>
      <c r="P73" s="882">
        <f t="shared" si="23"/>
        <v>3</v>
      </c>
      <c r="Q73" s="882">
        <f t="shared" si="23"/>
        <v>3</v>
      </c>
      <c r="R73" s="883">
        <f t="shared" si="23"/>
        <v>3</v>
      </c>
      <c r="S73" s="2246">
        <v>9</v>
      </c>
      <c r="T73" s="881">
        <f t="shared" si="24"/>
        <v>9.4</v>
      </c>
      <c r="U73" s="882">
        <f t="shared" si="24"/>
        <v>9.8000000000000007</v>
      </c>
      <c r="V73" s="882">
        <f t="shared" si="24"/>
        <v>10.200000000000001</v>
      </c>
      <c r="W73" s="882">
        <f t="shared" si="24"/>
        <v>10.600000000000001</v>
      </c>
      <c r="X73" s="882">
        <f t="shared" si="24"/>
        <v>11.000000000000002</v>
      </c>
      <c r="Y73" s="883">
        <f t="shared" si="24"/>
        <v>11.400000000000002</v>
      </c>
      <c r="Z73" s="1672"/>
      <c r="AA73" s="1703"/>
    </row>
    <row r="74" spans="1:28">
      <c r="A74" s="1687">
        <v>7</v>
      </c>
      <c r="B74" s="1689">
        <v>20601</v>
      </c>
      <c r="C74" s="1680">
        <v>0.1</v>
      </c>
      <c r="D74" s="1626" t="s">
        <v>766</v>
      </c>
      <c r="E74" s="2246">
        <v>155</v>
      </c>
      <c r="F74" s="881">
        <f>E74+F49</f>
        <v>173.0137996941896</v>
      </c>
      <c r="G74" s="882">
        <f t="shared" ref="G74:K74" si="25">F74+G49</f>
        <v>195.97315845733749</v>
      </c>
      <c r="H74" s="882">
        <f t="shared" si="25"/>
        <v>221.82616518205515</v>
      </c>
      <c r="I74" s="882">
        <f t="shared" si="25"/>
        <v>252.2493651217074</v>
      </c>
      <c r="J74" s="882">
        <f t="shared" si="25"/>
        <v>287.96415452849442</v>
      </c>
      <c r="K74" s="883">
        <f t="shared" si="25"/>
        <v>322.7179649601315</v>
      </c>
      <c r="L74" s="2246">
        <v>1</v>
      </c>
      <c r="M74" s="881">
        <f t="shared" si="23"/>
        <v>1.0231269113149848</v>
      </c>
      <c r="N74" s="882">
        <f t="shared" si="23"/>
        <v>4.3699270633869656</v>
      </c>
      <c r="O74" s="882">
        <f t="shared" si="23"/>
        <v>11.648974826125132</v>
      </c>
      <c r="P74" s="882">
        <f t="shared" si="23"/>
        <v>20.322516107760556</v>
      </c>
      <c r="Q74" s="882">
        <f t="shared" si="23"/>
        <v>30.572687611948041</v>
      </c>
      <c r="R74" s="883">
        <f t="shared" si="23"/>
        <v>42.549155324711393</v>
      </c>
      <c r="S74" s="2246">
        <v>5</v>
      </c>
      <c r="T74" s="881">
        <f t="shared" si="24"/>
        <v>6.3630733944954132</v>
      </c>
      <c r="U74" s="882">
        <f t="shared" si="24"/>
        <v>6.8569144792755425</v>
      </c>
      <c r="V74" s="882">
        <f t="shared" si="24"/>
        <v>7.2748599918197279</v>
      </c>
      <c r="W74" s="882">
        <f t="shared" si="24"/>
        <v>8.978118770532058</v>
      </c>
      <c r="X74" s="882">
        <f t="shared" si="24"/>
        <v>11.313157859557531</v>
      </c>
      <c r="Y74" s="883">
        <f t="shared" si="24"/>
        <v>14.382879715157081</v>
      </c>
      <c r="Z74" s="1672"/>
      <c r="AA74" s="1703"/>
    </row>
    <row r="75" spans="1:28">
      <c r="A75" s="1690">
        <v>8</v>
      </c>
      <c r="B75" s="1689">
        <v>20602</v>
      </c>
      <c r="C75" s="1680">
        <v>0.1</v>
      </c>
      <c r="D75" s="1626" t="s">
        <v>607</v>
      </c>
      <c r="E75" s="2246">
        <v>98</v>
      </c>
      <c r="F75" s="881">
        <f>E75+F50</f>
        <v>103.2</v>
      </c>
      <c r="G75" s="882">
        <f t="shared" ref="G75:K75" si="26">F75+G50</f>
        <v>108.4</v>
      </c>
      <c r="H75" s="882">
        <f t="shared" si="26"/>
        <v>113.60000000000001</v>
      </c>
      <c r="I75" s="882">
        <f t="shared" si="26"/>
        <v>118.80000000000001</v>
      </c>
      <c r="J75" s="882">
        <f t="shared" si="26"/>
        <v>123.00000000000001</v>
      </c>
      <c r="K75" s="883">
        <f t="shared" si="26"/>
        <v>123.20000000000002</v>
      </c>
      <c r="L75" s="2246">
        <v>1</v>
      </c>
      <c r="M75" s="881">
        <f t="shared" ref="M75:R75" si="27">L75+M50</f>
        <v>1</v>
      </c>
      <c r="N75" s="882">
        <f t="shared" si="27"/>
        <v>1</v>
      </c>
      <c r="O75" s="882">
        <f t="shared" si="27"/>
        <v>1</v>
      </c>
      <c r="P75" s="882">
        <f t="shared" si="27"/>
        <v>1</v>
      </c>
      <c r="Q75" s="882">
        <f t="shared" si="27"/>
        <v>1</v>
      </c>
      <c r="R75" s="883">
        <f t="shared" si="27"/>
        <v>1</v>
      </c>
      <c r="S75" s="2246">
        <v>8</v>
      </c>
      <c r="T75" s="881">
        <f t="shared" ref="T75:Y75" si="28">S75+T50</f>
        <v>9</v>
      </c>
      <c r="U75" s="882">
        <f>T75+U50</f>
        <v>9</v>
      </c>
      <c r="V75" s="882">
        <f t="shared" si="28"/>
        <v>9</v>
      </c>
      <c r="W75" s="882">
        <f t="shared" si="28"/>
        <v>9</v>
      </c>
      <c r="X75" s="882">
        <f t="shared" si="28"/>
        <v>9</v>
      </c>
      <c r="Y75" s="883">
        <f t="shared" si="28"/>
        <v>9</v>
      </c>
      <c r="Z75" s="1672"/>
      <c r="AA75" s="1703"/>
    </row>
    <row r="76" spans="1:28">
      <c r="A76" s="1690">
        <v>9</v>
      </c>
      <c r="B76" s="1688">
        <v>20603</v>
      </c>
      <c r="C76" s="1680">
        <v>0.5</v>
      </c>
      <c r="D76" s="1626" t="s">
        <v>1441</v>
      </c>
      <c r="E76" s="2246">
        <v>0</v>
      </c>
      <c r="F76" s="881">
        <f t="shared" ref="F76:K76" si="29">E76+F51</f>
        <v>0</v>
      </c>
      <c r="G76" s="882">
        <f t="shared" si="29"/>
        <v>0</v>
      </c>
      <c r="H76" s="882">
        <f t="shared" si="29"/>
        <v>0</v>
      </c>
      <c r="I76" s="882">
        <f t="shared" si="29"/>
        <v>0</v>
      </c>
      <c r="J76" s="882">
        <f t="shared" si="29"/>
        <v>0</v>
      </c>
      <c r="K76" s="883">
        <f t="shared" si="29"/>
        <v>0</v>
      </c>
      <c r="L76" s="2246">
        <v>0</v>
      </c>
      <c r="M76" s="881">
        <f>L76+M51</f>
        <v>0</v>
      </c>
      <c r="N76" s="882">
        <f t="shared" ref="N76:R76" si="30">M76+N51</f>
        <v>0</v>
      </c>
      <c r="O76" s="882">
        <f t="shared" si="30"/>
        <v>0</v>
      </c>
      <c r="P76" s="882">
        <f t="shared" si="30"/>
        <v>0</v>
      </c>
      <c r="Q76" s="882">
        <f t="shared" si="30"/>
        <v>0</v>
      </c>
      <c r="R76" s="883">
        <f t="shared" si="30"/>
        <v>0</v>
      </c>
      <c r="S76" s="2246">
        <v>0</v>
      </c>
      <c r="T76" s="881">
        <f t="shared" ref="T76:Y76" si="31">S76+T51</f>
        <v>0</v>
      </c>
      <c r="U76" s="882">
        <f t="shared" si="31"/>
        <v>0</v>
      </c>
      <c r="V76" s="882">
        <f t="shared" si="31"/>
        <v>0</v>
      </c>
      <c r="W76" s="882">
        <f t="shared" si="31"/>
        <v>0</v>
      </c>
      <c r="X76" s="882">
        <f t="shared" si="31"/>
        <v>0</v>
      </c>
      <c r="Y76" s="883">
        <f t="shared" si="31"/>
        <v>0</v>
      </c>
      <c r="Z76" s="1672"/>
      <c r="AA76" s="1703"/>
    </row>
    <row r="77" spans="1:28">
      <c r="A77" s="1690">
        <v>10</v>
      </c>
      <c r="B77" s="1688">
        <v>209</v>
      </c>
      <c r="C77" s="1671">
        <v>0.1</v>
      </c>
      <c r="D77" s="1626" t="s">
        <v>276</v>
      </c>
      <c r="E77" s="2246">
        <v>0</v>
      </c>
      <c r="F77" s="881">
        <f t="shared" ref="F77:K83" si="32">E77+F52</f>
        <v>0</v>
      </c>
      <c r="G77" s="882">
        <f t="shared" si="32"/>
        <v>0</v>
      </c>
      <c r="H77" s="882">
        <f t="shared" si="32"/>
        <v>0</v>
      </c>
      <c r="I77" s="882">
        <f t="shared" si="32"/>
        <v>0</v>
      </c>
      <c r="J77" s="882">
        <f t="shared" si="32"/>
        <v>0</v>
      </c>
      <c r="K77" s="883">
        <f t="shared" si="32"/>
        <v>0</v>
      </c>
      <c r="L77" s="2246">
        <v>0</v>
      </c>
      <c r="M77" s="881">
        <f t="shared" ref="M77:R77" si="33">L77+M52</f>
        <v>0</v>
      </c>
      <c r="N77" s="882">
        <f t="shared" si="33"/>
        <v>0</v>
      </c>
      <c r="O77" s="882">
        <f t="shared" si="33"/>
        <v>0</v>
      </c>
      <c r="P77" s="882">
        <f t="shared" si="33"/>
        <v>0</v>
      </c>
      <c r="Q77" s="882">
        <f t="shared" si="33"/>
        <v>0</v>
      </c>
      <c r="R77" s="883">
        <f t="shared" si="33"/>
        <v>0</v>
      </c>
      <c r="S77" s="2246">
        <v>0</v>
      </c>
      <c r="T77" s="881">
        <f t="shared" ref="T77:Y77" si="34">S77+T52</f>
        <v>0</v>
      </c>
      <c r="U77" s="882">
        <f t="shared" si="34"/>
        <v>0</v>
      </c>
      <c r="V77" s="882">
        <f t="shared" si="34"/>
        <v>0</v>
      </c>
      <c r="W77" s="882">
        <f t="shared" si="34"/>
        <v>0</v>
      </c>
      <c r="X77" s="882">
        <f t="shared" si="34"/>
        <v>0</v>
      </c>
      <c r="Y77" s="883">
        <f t="shared" si="34"/>
        <v>0</v>
      </c>
      <c r="Z77" s="1672"/>
      <c r="AA77" s="1703"/>
    </row>
    <row r="78" spans="1:28" ht="24">
      <c r="A78" s="1690">
        <v>11</v>
      </c>
      <c r="B78" s="1688">
        <v>207</v>
      </c>
      <c r="C78" s="1671" t="s">
        <v>380</v>
      </c>
      <c r="D78" s="1628" t="s">
        <v>586</v>
      </c>
      <c r="E78" s="2246">
        <v>0</v>
      </c>
      <c r="F78" s="881">
        <f t="shared" si="32"/>
        <v>0</v>
      </c>
      <c r="G78" s="882">
        <f t="shared" si="32"/>
        <v>0</v>
      </c>
      <c r="H78" s="882">
        <f t="shared" si="32"/>
        <v>0</v>
      </c>
      <c r="I78" s="882">
        <f t="shared" si="32"/>
        <v>0</v>
      </c>
      <c r="J78" s="882">
        <f t="shared" si="32"/>
        <v>0</v>
      </c>
      <c r="K78" s="883">
        <f t="shared" si="32"/>
        <v>0</v>
      </c>
      <c r="L78" s="2246">
        <v>0</v>
      </c>
      <c r="M78" s="881">
        <f t="shared" ref="M78:M83" si="35">L78+M53</f>
        <v>0</v>
      </c>
      <c r="N78" s="882">
        <f t="shared" ref="N78:R78" si="36">M78+N53</f>
        <v>0</v>
      </c>
      <c r="O78" s="882">
        <f t="shared" si="36"/>
        <v>0</v>
      </c>
      <c r="P78" s="882">
        <f t="shared" si="36"/>
        <v>0</v>
      </c>
      <c r="Q78" s="882">
        <f t="shared" si="36"/>
        <v>0</v>
      </c>
      <c r="R78" s="883">
        <f t="shared" si="36"/>
        <v>0</v>
      </c>
      <c r="S78" s="2246">
        <v>0</v>
      </c>
      <c r="T78" s="881">
        <f t="shared" ref="T78:Y78" si="37">S78+T53</f>
        <v>0</v>
      </c>
      <c r="U78" s="882">
        <f t="shared" ref="U78:U83" si="38">T78+U53</f>
        <v>0</v>
      </c>
      <c r="V78" s="882">
        <f t="shared" si="37"/>
        <v>0</v>
      </c>
      <c r="W78" s="882">
        <f t="shared" si="37"/>
        <v>0</v>
      </c>
      <c r="X78" s="882">
        <f t="shared" si="37"/>
        <v>0</v>
      </c>
      <c r="Y78" s="883">
        <f t="shared" si="37"/>
        <v>0</v>
      </c>
      <c r="Z78" s="1672"/>
      <c r="AA78" s="1703"/>
    </row>
    <row r="79" spans="1:28">
      <c r="A79" s="1690">
        <v>12</v>
      </c>
      <c r="B79" s="1688">
        <v>212</v>
      </c>
      <c r="C79" s="1680">
        <v>0.2</v>
      </c>
      <c r="D79" s="1629" t="s">
        <v>277</v>
      </c>
      <c r="E79" s="2246">
        <v>128</v>
      </c>
      <c r="F79" s="881">
        <f t="shared" si="32"/>
        <v>133.7921636085627</v>
      </c>
      <c r="G79" s="882">
        <f t="shared" si="32"/>
        <v>136.49426093463038</v>
      </c>
      <c r="H79" s="882">
        <f t="shared" si="32"/>
        <v>139.14153225112318</v>
      </c>
      <c r="I79" s="882">
        <f t="shared" si="32"/>
        <v>142.03054518817294</v>
      </c>
      <c r="J79" s="882">
        <f t="shared" si="32"/>
        <v>146.29500290412022</v>
      </c>
      <c r="K79" s="883">
        <f t="shared" si="32"/>
        <v>151.97188286371025</v>
      </c>
      <c r="L79" s="2246">
        <v>2</v>
      </c>
      <c r="M79" s="881">
        <f t="shared" si="35"/>
        <v>2.0021024464831805</v>
      </c>
      <c r="N79" s="882">
        <f t="shared" ref="N79:R83" si="39">M79+N54</f>
        <v>2.4727462178683028</v>
      </c>
      <c r="O79" s="882">
        <f t="shared" si="39"/>
        <v>3.8187501837274285</v>
      </c>
      <c r="P79" s="882">
        <f t="shared" si="39"/>
        <v>5.6283379331333805</v>
      </c>
      <c r="Q79" s="882">
        <f t="shared" si="39"/>
        <v>7.8932483504892552</v>
      </c>
      <c r="R79" s="883">
        <f t="shared" si="39"/>
        <v>10.572914642386079</v>
      </c>
      <c r="S79" s="2246">
        <v>5</v>
      </c>
      <c r="T79" s="881">
        <f>S79+T54</f>
        <v>5.0057339449541285</v>
      </c>
      <c r="U79" s="882">
        <f t="shared" si="38"/>
        <v>4.0329928475013341</v>
      </c>
      <c r="V79" s="882">
        <f t="shared" ref="V79:Y83" si="40">U79+V54</f>
        <v>3.239717565149407</v>
      </c>
      <c r="W79" s="882">
        <f t="shared" si="40"/>
        <v>2.7411168786937061</v>
      </c>
      <c r="X79" s="882">
        <f t="shared" si="40"/>
        <v>2.4117487453905531</v>
      </c>
      <c r="Y79" s="883">
        <f t="shared" si="40"/>
        <v>2.2552024939036945</v>
      </c>
      <c r="Z79" s="1672"/>
      <c r="AA79" s="1703"/>
    </row>
    <row r="80" spans="1:28">
      <c r="A80" s="1690">
        <v>13</v>
      </c>
      <c r="B80" s="1687">
        <v>213</v>
      </c>
      <c r="C80" s="1691">
        <v>0.2</v>
      </c>
      <c r="D80" s="272" t="s">
        <v>278</v>
      </c>
      <c r="E80" s="2246">
        <v>0</v>
      </c>
      <c r="F80" s="881">
        <f t="shared" si="32"/>
        <v>0</v>
      </c>
      <c r="G80" s="882">
        <f t="shared" si="32"/>
        <v>0</v>
      </c>
      <c r="H80" s="882">
        <f t="shared" si="32"/>
        <v>0</v>
      </c>
      <c r="I80" s="882">
        <f t="shared" si="32"/>
        <v>0</v>
      </c>
      <c r="J80" s="882">
        <f t="shared" si="32"/>
        <v>0</v>
      </c>
      <c r="K80" s="883">
        <f t="shared" si="32"/>
        <v>0</v>
      </c>
      <c r="L80" s="2246">
        <v>0</v>
      </c>
      <c r="M80" s="881">
        <f t="shared" si="35"/>
        <v>0</v>
      </c>
      <c r="N80" s="882">
        <f t="shared" si="39"/>
        <v>0</v>
      </c>
      <c r="O80" s="882">
        <f t="shared" si="39"/>
        <v>0</v>
      </c>
      <c r="P80" s="882">
        <f t="shared" si="39"/>
        <v>0</v>
      </c>
      <c r="Q80" s="882">
        <f t="shared" si="39"/>
        <v>0</v>
      </c>
      <c r="R80" s="883">
        <f t="shared" si="39"/>
        <v>0</v>
      </c>
      <c r="S80" s="2246">
        <v>0</v>
      </c>
      <c r="T80" s="881">
        <f>S80+T55</f>
        <v>0</v>
      </c>
      <c r="U80" s="882">
        <f t="shared" si="38"/>
        <v>0</v>
      </c>
      <c r="V80" s="882">
        <f t="shared" si="40"/>
        <v>0</v>
      </c>
      <c r="W80" s="882">
        <f t="shared" si="40"/>
        <v>0</v>
      </c>
      <c r="X80" s="882">
        <f t="shared" si="40"/>
        <v>0</v>
      </c>
      <c r="Y80" s="883">
        <f t="shared" si="40"/>
        <v>0</v>
      </c>
      <c r="Z80" s="1672"/>
      <c r="AA80" s="1679"/>
      <c r="AB80" s="1642"/>
    </row>
    <row r="81" spans="1:28">
      <c r="A81" s="1690">
        <v>14</v>
      </c>
      <c r="B81" s="1692"/>
      <c r="C81" s="1692"/>
      <c r="D81" s="526" t="s">
        <v>844</v>
      </c>
      <c r="E81" s="2246">
        <v>0</v>
      </c>
      <c r="F81" s="881">
        <f t="shared" si="32"/>
        <v>0</v>
      </c>
      <c r="G81" s="882">
        <f t="shared" si="32"/>
        <v>0</v>
      </c>
      <c r="H81" s="882">
        <f t="shared" si="32"/>
        <v>0</v>
      </c>
      <c r="I81" s="882">
        <f t="shared" si="32"/>
        <v>0</v>
      </c>
      <c r="J81" s="882">
        <f t="shared" si="32"/>
        <v>0</v>
      </c>
      <c r="K81" s="883">
        <f t="shared" si="32"/>
        <v>0</v>
      </c>
      <c r="L81" s="2246">
        <v>0</v>
      </c>
      <c r="M81" s="881">
        <f t="shared" si="35"/>
        <v>0</v>
      </c>
      <c r="N81" s="882">
        <f t="shared" si="39"/>
        <v>0</v>
      </c>
      <c r="O81" s="882">
        <f t="shared" si="39"/>
        <v>0</v>
      </c>
      <c r="P81" s="882">
        <f t="shared" si="39"/>
        <v>0</v>
      </c>
      <c r="Q81" s="882">
        <f t="shared" si="39"/>
        <v>0</v>
      </c>
      <c r="R81" s="883">
        <f t="shared" si="39"/>
        <v>0</v>
      </c>
      <c r="S81" s="2246">
        <v>0</v>
      </c>
      <c r="T81" s="881">
        <f>S81+T56</f>
        <v>0</v>
      </c>
      <c r="U81" s="882">
        <f t="shared" si="38"/>
        <v>0</v>
      </c>
      <c r="V81" s="882">
        <f t="shared" si="40"/>
        <v>0</v>
      </c>
      <c r="W81" s="882">
        <f t="shared" si="40"/>
        <v>0</v>
      </c>
      <c r="X81" s="882">
        <f t="shared" si="40"/>
        <v>0</v>
      </c>
      <c r="Y81" s="883">
        <f t="shared" si="40"/>
        <v>0</v>
      </c>
      <c r="Z81" s="1672"/>
      <c r="AA81" s="1703"/>
    </row>
    <row r="82" spans="1:28">
      <c r="A82" s="1690">
        <v>15</v>
      </c>
      <c r="B82" s="1687">
        <v>207</v>
      </c>
      <c r="C82" s="1705" t="s">
        <v>380</v>
      </c>
      <c r="D82" s="272" t="s">
        <v>587</v>
      </c>
      <c r="E82" s="2246">
        <v>0</v>
      </c>
      <c r="F82" s="881">
        <f t="shared" si="32"/>
        <v>0</v>
      </c>
      <c r="G82" s="882">
        <f t="shared" si="32"/>
        <v>0</v>
      </c>
      <c r="H82" s="882">
        <f t="shared" si="32"/>
        <v>0</v>
      </c>
      <c r="I82" s="882">
        <f t="shared" si="32"/>
        <v>0</v>
      </c>
      <c r="J82" s="882">
        <f t="shared" si="32"/>
        <v>0</v>
      </c>
      <c r="K82" s="883">
        <f t="shared" si="32"/>
        <v>0</v>
      </c>
      <c r="L82" s="2246">
        <v>0</v>
      </c>
      <c r="M82" s="881">
        <f t="shared" si="35"/>
        <v>0</v>
      </c>
      <c r="N82" s="882">
        <f t="shared" si="39"/>
        <v>0</v>
      </c>
      <c r="O82" s="882">
        <f t="shared" si="39"/>
        <v>0</v>
      </c>
      <c r="P82" s="882">
        <f t="shared" si="39"/>
        <v>0</v>
      </c>
      <c r="Q82" s="882">
        <f t="shared" si="39"/>
        <v>0</v>
      </c>
      <c r="R82" s="883">
        <f t="shared" si="39"/>
        <v>0</v>
      </c>
      <c r="S82" s="2246">
        <v>0</v>
      </c>
      <c r="T82" s="881">
        <f>S82+T57</f>
        <v>0</v>
      </c>
      <c r="U82" s="882">
        <f t="shared" si="38"/>
        <v>0</v>
      </c>
      <c r="V82" s="882">
        <f t="shared" si="40"/>
        <v>0</v>
      </c>
      <c r="W82" s="882">
        <f t="shared" si="40"/>
        <v>0</v>
      </c>
      <c r="X82" s="882">
        <f t="shared" si="40"/>
        <v>0</v>
      </c>
      <c r="Y82" s="883">
        <f t="shared" si="40"/>
        <v>0</v>
      </c>
      <c r="Z82" s="1672"/>
      <c r="AA82" s="1703"/>
    </row>
    <row r="83" spans="1:28" ht="13.5" thickBot="1">
      <c r="A83" s="1690">
        <v>16</v>
      </c>
      <c r="B83" s="1693">
        <v>219</v>
      </c>
      <c r="C83" s="1708">
        <v>0.1</v>
      </c>
      <c r="D83" s="277" t="s">
        <v>279</v>
      </c>
      <c r="E83" s="2247">
        <v>106</v>
      </c>
      <c r="F83" s="881">
        <f t="shared" si="32"/>
        <v>123</v>
      </c>
      <c r="G83" s="882">
        <f t="shared" si="32"/>
        <v>140</v>
      </c>
      <c r="H83" s="882">
        <f t="shared" si="32"/>
        <v>157</v>
      </c>
      <c r="I83" s="882">
        <f t="shared" si="32"/>
        <v>174</v>
      </c>
      <c r="J83" s="882">
        <f t="shared" si="32"/>
        <v>190</v>
      </c>
      <c r="K83" s="883">
        <f t="shared" si="32"/>
        <v>190</v>
      </c>
      <c r="L83" s="2247">
        <v>0</v>
      </c>
      <c r="M83" s="881">
        <f t="shared" si="35"/>
        <v>0</v>
      </c>
      <c r="N83" s="882">
        <f t="shared" si="39"/>
        <v>0</v>
      </c>
      <c r="O83" s="882">
        <f t="shared" si="39"/>
        <v>0</v>
      </c>
      <c r="P83" s="882">
        <f t="shared" si="39"/>
        <v>0</v>
      </c>
      <c r="Q83" s="882">
        <f t="shared" si="39"/>
        <v>0</v>
      </c>
      <c r="R83" s="883">
        <f t="shared" si="39"/>
        <v>0</v>
      </c>
      <c r="S83" s="2247">
        <v>2</v>
      </c>
      <c r="T83" s="881">
        <f>S83+T58</f>
        <v>2</v>
      </c>
      <c r="U83" s="882">
        <f t="shared" si="38"/>
        <v>2</v>
      </c>
      <c r="V83" s="882">
        <f t="shared" si="40"/>
        <v>2</v>
      </c>
      <c r="W83" s="882">
        <f t="shared" si="40"/>
        <v>2</v>
      </c>
      <c r="X83" s="882">
        <f t="shared" si="40"/>
        <v>2</v>
      </c>
      <c r="Y83" s="883">
        <f t="shared" si="40"/>
        <v>2</v>
      </c>
      <c r="Z83" s="1672"/>
      <c r="AA83" s="1703"/>
    </row>
    <row r="84" spans="1:28" ht="13.5" thickBot="1">
      <c r="A84" s="1695" t="s">
        <v>284</v>
      </c>
      <c r="B84" s="1696"/>
      <c r="C84" s="1696"/>
      <c r="D84" s="1666" t="s">
        <v>285</v>
      </c>
      <c r="E84" s="650">
        <f t="shared" ref="E84" si="41">SUM(E85:E108)-E87-E93</f>
        <v>5576</v>
      </c>
      <c r="F84" s="242">
        <f t="shared" ref="F84:Y84" si="42">SUM(F85:F108)-F87-F93</f>
        <v>6279.0611850683817</v>
      </c>
      <c r="G84" s="243">
        <f t="shared" si="42"/>
        <v>5700.6565843146182</v>
      </c>
      <c r="H84" s="243">
        <f t="shared" si="42"/>
        <v>5189.4320330243791</v>
      </c>
      <c r="I84" s="243">
        <f t="shared" si="42"/>
        <v>4717.4695151815085</v>
      </c>
      <c r="J84" s="243">
        <f t="shared" si="42"/>
        <v>4198.7166203776533</v>
      </c>
      <c r="K84" s="244">
        <f t="shared" si="42"/>
        <v>3703.9684645896127</v>
      </c>
      <c r="L84" s="650">
        <f t="shared" si="42"/>
        <v>538</v>
      </c>
      <c r="M84" s="242">
        <f t="shared" si="42"/>
        <v>478.88772684997804</v>
      </c>
      <c r="N84" s="243">
        <f t="shared" si="42"/>
        <v>2146.5757276294803</v>
      </c>
      <c r="O84" s="243">
        <f t="shared" si="42"/>
        <v>1911.0267696630408</v>
      </c>
      <c r="P84" s="243">
        <f t="shared" si="42"/>
        <v>1685.4779320900318</v>
      </c>
      <c r="Q84" s="243">
        <f t="shared" si="42"/>
        <v>1459.3498360559965</v>
      </c>
      <c r="R84" s="244">
        <f t="shared" si="42"/>
        <v>1226.715498165782</v>
      </c>
      <c r="S84" s="650">
        <f t="shared" si="42"/>
        <v>222</v>
      </c>
      <c r="T84" s="242">
        <f t="shared" si="42"/>
        <v>222.02608808163944</v>
      </c>
      <c r="U84" s="243">
        <f t="shared" si="42"/>
        <v>213.50268805590284</v>
      </c>
      <c r="V84" s="243">
        <f t="shared" si="42"/>
        <v>645.68619731257979</v>
      </c>
      <c r="W84" s="243">
        <f t="shared" si="42"/>
        <v>609.15755272846036</v>
      </c>
      <c r="X84" s="243">
        <f t="shared" si="42"/>
        <v>574.49854356634899</v>
      </c>
      <c r="Y84" s="244">
        <f t="shared" si="42"/>
        <v>545.94103724460592</v>
      </c>
      <c r="Z84" s="1667"/>
      <c r="AA84" s="1709">
        <f>-(K84+R84+Y84+K170+R170+Y170+K257+R257+Y257)+((K9+R9+Y9+K110+R110+Y110+K191+R191+Y191)-(K59+R59+Y59+K150+R150+Y150+K235+R235+Y235))</f>
        <v>0</v>
      </c>
      <c r="AB84" s="1648"/>
    </row>
    <row r="85" spans="1:28">
      <c r="A85" s="1669">
        <v>1</v>
      </c>
      <c r="B85" s="1669">
        <v>20101</v>
      </c>
      <c r="C85" s="1691">
        <v>0</v>
      </c>
      <c r="D85" s="265" t="s">
        <v>758</v>
      </c>
      <c r="E85" s="2055">
        <f>E10-E60</f>
        <v>67</v>
      </c>
      <c r="F85" s="2054">
        <f t="shared" ref="F85:L86" si="43">F10-F60</f>
        <v>67</v>
      </c>
      <c r="G85" s="879">
        <f t="shared" si="43"/>
        <v>67</v>
      </c>
      <c r="H85" s="879">
        <f t="shared" si="43"/>
        <v>67</v>
      </c>
      <c r="I85" s="879">
        <f t="shared" si="43"/>
        <v>67</v>
      </c>
      <c r="J85" s="879">
        <f t="shared" si="43"/>
        <v>67</v>
      </c>
      <c r="K85" s="2059">
        <f t="shared" si="43"/>
        <v>67</v>
      </c>
      <c r="L85" s="2055">
        <f t="shared" si="43"/>
        <v>0</v>
      </c>
      <c r="M85" s="2054">
        <f t="shared" ref="M85:S86" si="44">M10-M60</f>
        <v>0</v>
      </c>
      <c r="N85" s="879">
        <f t="shared" si="44"/>
        <v>0</v>
      </c>
      <c r="O85" s="879">
        <f t="shared" si="44"/>
        <v>0</v>
      </c>
      <c r="P85" s="879">
        <f t="shared" si="44"/>
        <v>0</v>
      </c>
      <c r="Q85" s="879">
        <f t="shared" si="44"/>
        <v>0</v>
      </c>
      <c r="R85" s="2059">
        <f t="shared" si="44"/>
        <v>0</v>
      </c>
      <c r="S85" s="2055">
        <f t="shared" si="44"/>
        <v>0</v>
      </c>
      <c r="T85" s="878">
        <f t="shared" ref="T85:Y86" si="45">T10-T60</f>
        <v>0</v>
      </c>
      <c r="U85" s="879">
        <f t="shared" si="45"/>
        <v>0</v>
      </c>
      <c r="V85" s="879">
        <f t="shared" si="45"/>
        <v>0</v>
      </c>
      <c r="W85" s="879">
        <f t="shared" si="45"/>
        <v>0</v>
      </c>
      <c r="X85" s="879">
        <f t="shared" si="45"/>
        <v>0</v>
      </c>
      <c r="Y85" s="880">
        <f t="shared" si="45"/>
        <v>0</v>
      </c>
      <c r="Z85" s="1672"/>
      <c r="AA85" s="1673"/>
      <c r="AB85" s="1642"/>
    </row>
    <row r="86" spans="1:28">
      <c r="A86" s="1674">
        <v>2</v>
      </c>
      <c r="B86" s="1674">
        <v>20201</v>
      </c>
      <c r="C86" s="1707">
        <v>0.03</v>
      </c>
      <c r="D86" s="268" t="s">
        <v>597</v>
      </c>
      <c r="E86" s="2056">
        <f t="shared" ref="E86" si="46">E11-E61</f>
        <v>2201</v>
      </c>
      <c r="F86" s="928">
        <f t="shared" si="43"/>
        <v>2430.5710108049971</v>
      </c>
      <c r="G86" s="882">
        <f t="shared" si="43"/>
        <v>2382.3486709916051</v>
      </c>
      <c r="H86" s="882">
        <f t="shared" si="43"/>
        <v>2378.9825352783942</v>
      </c>
      <c r="I86" s="882">
        <f t="shared" si="43"/>
        <v>2403.3421279580789</v>
      </c>
      <c r="J86" s="882">
        <f t="shared" si="43"/>
        <v>2426.9660496443294</v>
      </c>
      <c r="K86" s="981">
        <f t="shared" si="43"/>
        <v>2447.5227351909111</v>
      </c>
      <c r="L86" s="2056">
        <f t="shared" si="43"/>
        <v>17</v>
      </c>
      <c r="M86" s="928">
        <f t="shared" si="44"/>
        <v>22.618104044688724</v>
      </c>
      <c r="N86" s="882">
        <f t="shared" si="44"/>
        <v>113.74423231986356</v>
      </c>
      <c r="O86" s="882">
        <f t="shared" si="44"/>
        <v>111.78657250036031</v>
      </c>
      <c r="P86" s="882">
        <f t="shared" si="44"/>
        <v>116.1052651866426</v>
      </c>
      <c r="Q86" s="882">
        <f t="shared" si="44"/>
        <v>118.67902132942251</v>
      </c>
      <c r="R86" s="981">
        <f t="shared" si="44"/>
        <v>117.91006272688668</v>
      </c>
      <c r="S86" s="2056">
        <f t="shared" si="44"/>
        <v>42</v>
      </c>
      <c r="T86" s="881">
        <f t="shared" si="45"/>
        <v>42.755885150313951</v>
      </c>
      <c r="U86" s="882">
        <f t="shared" si="45"/>
        <v>43.522096688530979</v>
      </c>
      <c r="V86" s="882">
        <f t="shared" si="45"/>
        <v>88.015892221245366</v>
      </c>
      <c r="W86" s="882">
        <f t="shared" si="45"/>
        <v>94.007606855278425</v>
      </c>
      <c r="X86" s="882">
        <f t="shared" si="45"/>
        <v>97.979929026247802</v>
      </c>
      <c r="Y86" s="883">
        <f t="shared" si="45"/>
        <v>103.86220208220226</v>
      </c>
      <c r="Z86" s="1672"/>
      <c r="AA86" s="1710"/>
    </row>
    <row r="87" spans="1:28" ht="25.5" customHeight="1">
      <c r="A87" s="1674">
        <v>3</v>
      </c>
      <c r="B87" s="1675">
        <v>203</v>
      </c>
      <c r="C87" s="1680"/>
      <c r="D87" s="1624" t="s">
        <v>577</v>
      </c>
      <c r="E87" s="2057">
        <f t="shared" ref="E87" si="47">SUM(E88:E91)</f>
        <v>1598</v>
      </c>
      <c r="F87" s="1711">
        <f t="shared" ref="F87:Y87" si="48">SUM(F88:F91)</f>
        <v>1928.8500000000001</v>
      </c>
      <c r="G87" s="1712">
        <f t="shared" si="48"/>
        <v>1537.6</v>
      </c>
      <c r="H87" s="1712">
        <f t="shared" si="48"/>
        <v>1146.45</v>
      </c>
      <c r="I87" s="1712">
        <f t="shared" si="48"/>
        <v>765.40000000000032</v>
      </c>
      <c r="J87" s="1712">
        <f t="shared" si="48"/>
        <v>380.45000000000033</v>
      </c>
      <c r="K87" s="2060">
        <f t="shared" si="48"/>
        <v>-8.3999999999994657</v>
      </c>
      <c r="L87" s="2057">
        <f t="shared" ref="L87" si="49">SUM(L88:L91)</f>
        <v>23</v>
      </c>
      <c r="M87" s="1711">
        <f t="shared" si="48"/>
        <v>18</v>
      </c>
      <c r="N87" s="1712">
        <f t="shared" si="48"/>
        <v>222</v>
      </c>
      <c r="O87" s="1712">
        <f t="shared" si="48"/>
        <v>195</v>
      </c>
      <c r="P87" s="1712">
        <f t="shared" si="48"/>
        <v>170</v>
      </c>
      <c r="Q87" s="1712">
        <f t="shared" si="48"/>
        <v>148</v>
      </c>
      <c r="R87" s="2060">
        <f t="shared" si="48"/>
        <v>126</v>
      </c>
      <c r="S87" s="2057">
        <f t="shared" si="48"/>
        <v>94</v>
      </c>
      <c r="T87" s="953">
        <f t="shared" si="48"/>
        <v>102.5</v>
      </c>
      <c r="U87" s="954">
        <f t="shared" si="48"/>
        <v>98.5</v>
      </c>
      <c r="V87" s="954">
        <f t="shared" si="48"/>
        <v>226.5</v>
      </c>
      <c r="W87" s="954">
        <f t="shared" si="48"/>
        <v>207.5</v>
      </c>
      <c r="X87" s="954">
        <f t="shared" si="48"/>
        <v>192.5</v>
      </c>
      <c r="Y87" s="957">
        <f t="shared" si="48"/>
        <v>175.5</v>
      </c>
      <c r="Z87" s="1672"/>
      <c r="AA87" s="1703"/>
    </row>
    <row r="88" spans="1:28">
      <c r="A88" s="1674"/>
      <c r="B88" s="1675">
        <v>20301</v>
      </c>
      <c r="C88" s="1680">
        <v>0.1</v>
      </c>
      <c r="D88" s="1625" t="s">
        <v>599</v>
      </c>
      <c r="E88" s="2056">
        <f t="shared" ref="E88" si="50">E13-E63</f>
        <v>298</v>
      </c>
      <c r="F88" s="928">
        <f t="shared" ref="F88:L92" si="51">F13-F63</f>
        <v>249.5</v>
      </c>
      <c r="G88" s="882">
        <f t="shared" si="51"/>
        <v>201</v>
      </c>
      <c r="H88" s="882">
        <f t="shared" si="51"/>
        <v>152.5</v>
      </c>
      <c r="I88" s="882">
        <f t="shared" si="51"/>
        <v>104</v>
      </c>
      <c r="J88" s="882">
        <f t="shared" si="51"/>
        <v>55.5</v>
      </c>
      <c r="K88" s="981">
        <f t="shared" si="51"/>
        <v>7</v>
      </c>
      <c r="L88" s="2056">
        <f t="shared" si="51"/>
        <v>4</v>
      </c>
      <c r="M88" s="928">
        <f t="shared" ref="M88:S92" si="52">M13-M63</f>
        <v>4</v>
      </c>
      <c r="N88" s="882">
        <f t="shared" si="52"/>
        <v>4</v>
      </c>
      <c r="O88" s="882">
        <f t="shared" si="52"/>
        <v>4</v>
      </c>
      <c r="P88" s="882">
        <f t="shared" si="52"/>
        <v>4</v>
      </c>
      <c r="Q88" s="882">
        <f t="shared" si="52"/>
        <v>4</v>
      </c>
      <c r="R88" s="981">
        <f t="shared" si="52"/>
        <v>4</v>
      </c>
      <c r="S88" s="2056">
        <f t="shared" si="52"/>
        <v>13</v>
      </c>
      <c r="T88" s="881">
        <f t="shared" ref="T88:Y92" si="53">T13-T63</f>
        <v>11</v>
      </c>
      <c r="U88" s="882">
        <f t="shared" si="53"/>
        <v>9</v>
      </c>
      <c r="V88" s="882">
        <f t="shared" si="53"/>
        <v>7</v>
      </c>
      <c r="W88" s="882">
        <f t="shared" si="53"/>
        <v>5</v>
      </c>
      <c r="X88" s="882">
        <f t="shared" si="53"/>
        <v>3</v>
      </c>
      <c r="Y88" s="883">
        <f t="shared" si="53"/>
        <v>1</v>
      </c>
      <c r="Z88" s="1672"/>
      <c r="AA88" s="1703"/>
    </row>
    <row r="89" spans="1:28">
      <c r="A89" s="1674"/>
      <c r="B89" s="1675">
        <v>20302</v>
      </c>
      <c r="C89" s="1680">
        <v>0.1</v>
      </c>
      <c r="D89" s="1625" t="s">
        <v>600</v>
      </c>
      <c r="E89" s="2056">
        <f t="shared" ref="E89" si="54">E14-E64</f>
        <v>50</v>
      </c>
      <c r="F89" s="928">
        <f t="shared" si="51"/>
        <v>32.099999999999994</v>
      </c>
      <c r="G89" s="882">
        <f t="shared" si="51"/>
        <v>14.199999999999989</v>
      </c>
      <c r="H89" s="882">
        <f t="shared" si="51"/>
        <v>0.30000000000001137</v>
      </c>
      <c r="I89" s="882">
        <f t="shared" si="51"/>
        <v>0.40000000000003411</v>
      </c>
      <c r="J89" s="882">
        <f t="shared" si="51"/>
        <v>0.50000000000005684</v>
      </c>
      <c r="K89" s="981">
        <f t="shared" si="51"/>
        <v>0.60000000000007958</v>
      </c>
      <c r="L89" s="2056">
        <f t="shared" si="51"/>
        <v>0</v>
      </c>
      <c r="M89" s="928">
        <f t="shared" si="52"/>
        <v>0</v>
      </c>
      <c r="N89" s="882">
        <f t="shared" si="52"/>
        <v>0</v>
      </c>
      <c r="O89" s="882">
        <f t="shared" si="52"/>
        <v>0</v>
      </c>
      <c r="P89" s="882">
        <f t="shared" si="52"/>
        <v>0</v>
      </c>
      <c r="Q89" s="882">
        <f t="shared" si="52"/>
        <v>0</v>
      </c>
      <c r="R89" s="981">
        <f t="shared" si="52"/>
        <v>0</v>
      </c>
      <c r="S89" s="2056">
        <f t="shared" si="52"/>
        <v>3</v>
      </c>
      <c r="T89" s="881">
        <f t="shared" si="53"/>
        <v>1.5999999999999996</v>
      </c>
      <c r="U89" s="882">
        <f t="shared" si="53"/>
        <v>0.19999999999999929</v>
      </c>
      <c r="V89" s="882">
        <f t="shared" si="53"/>
        <v>-0.20000000000000107</v>
      </c>
      <c r="W89" s="882">
        <f t="shared" si="53"/>
        <v>0.39999999999999858</v>
      </c>
      <c r="X89" s="882">
        <f t="shared" si="53"/>
        <v>0.99999999999999822</v>
      </c>
      <c r="Y89" s="883">
        <f t="shared" si="53"/>
        <v>1.5999999999999979</v>
      </c>
      <c r="Z89" s="1672"/>
      <c r="AA89" s="1703"/>
    </row>
    <row r="90" spans="1:28">
      <c r="A90" s="1674"/>
      <c r="B90" s="1675">
        <v>20303</v>
      </c>
      <c r="C90" s="1680">
        <v>0.1</v>
      </c>
      <c r="D90" s="1625" t="s">
        <v>578</v>
      </c>
      <c r="E90" s="2056">
        <f t="shared" ref="E90" si="55">E15-E65</f>
        <v>900</v>
      </c>
      <c r="F90" s="928">
        <f t="shared" si="51"/>
        <v>878.55</v>
      </c>
      <c r="G90" s="882">
        <f t="shared" si="51"/>
        <v>660.84999999999991</v>
      </c>
      <c r="H90" s="882">
        <f t="shared" si="51"/>
        <v>441.15000000000009</v>
      </c>
      <c r="I90" s="882">
        <f t="shared" si="51"/>
        <v>219.45000000000027</v>
      </c>
      <c r="J90" s="882">
        <f t="shared" si="51"/>
        <v>-4.2499999999995453</v>
      </c>
      <c r="K90" s="981">
        <f t="shared" si="51"/>
        <v>-229.94999999999936</v>
      </c>
      <c r="L90" s="2056">
        <f t="shared" si="51"/>
        <v>18</v>
      </c>
      <c r="M90" s="928">
        <f t="shared" si="52"/>
        <v>13</v>
      </c>
      <c r="N90" s="882">
        <f t="shared" si="52"/>
        <v>217</v>
      </c>
      <c r="O90" s="882">
        <f t="shared" si="52"/>
        <v>190</v>
      </c>
      <c r="P90" s="882">
        <f t="shared" si="52"/>
        <v>165</v>
      </c>
      <c r="Q90" s="882">
        <f t="shared" si="52"/>
        <v>143</v>
      </c>
      <c r="R90" s="981">
        <f t="shared" si="52"/>
        <v>121</v>
      </c>
      <c r="S90" s="2056">
        <f t="shared" si="52"/>
        <v>63</v>
      </c>
      <c r="T90" s="881">
        <f t="shared" si="53"/>
        <v>71</v>
      </c>
      <c r="U90" s="882">
        <f t="shared" si="53"/>
        <v>67.5</v>
      </c>
      <c r="V90" s="882">
        <f t="shared" si="53"/>
        <v>196</v>
      </c>
      <c r="W90" s="882">
        <f t="shared" si="53"/>
        <v>176.5</v>
      </c>
      <c r="X90" s="882">
        <f t="shared" si="53"/>
        <v>156</v>
      </c>
      <c r="Y90" s="883">
        <f t="shared" si="53"/>
        <v>134.5</v>
      </c>
      <c r="Z90" s="1672"/>
      <c r="AA90" s="1703"/>
    </row>
    <row r="91" spans="1:28">
      <c r="A91" s="1674"/>
      <c r="B91" s="1675">
        <v>20306</v>
      </c>
      <c r="C91" s="1680">
        <v>0.1</v>
      </c>
      <c r="D91" s="1625" t="s">
        <v>581</v>
      </c>
      <c r="E91" s="2056">
        <f t="shared" ref="E91" si="56">E16-E66</f>
        <v>350</v>
      </c>
      <c r="F91" s="928">
        <f t="shared" si="51"/>
        <v>768.7</v>
      </c>
      <c r="G91" s="882">
        <f t="shared" si="51"/>
        <v>661.55</v>
      </c>
      <c r="H91" s="882">
        <f t="shared" si="51"/>
        <v>552.5</v>
      </c>
      <c r="I91" s="882">
        <f t="shared" si="51"/>
        <v>441.54999999999995</v>
      </c>
      <c r="J91" s="882">
        <f t="shared" si="51"/>
        <v>328.69999999999982</v>
      </c>
      <c r="K91" s="981">
        <f t="shared" si="51"/>
        <v>213.94999999999982</v>
      </c>
      <c r="L91" s="2056">
        <f t="shared" si="51"/>
        <v>1</v>
      </c>
      <c r="M91" s="928">
        <f t="shared" si="52"/>
        <v>1</v>
      </c>
      <c r="N91" s="882">
        <f t="shared" si="52"/>
        <v>1</v>
      </c>
      <c r="O91" s="882">
        <f t="shared" si="52"/>
        <v>1</v>
      </c>
      <c r="P91" s="882">
        <f t="shared" si="52"/>
        <v>1</v>
      </c>
      <c r="Q91" s="882">
        <f t="shared" si="52"/>
        <v>1</v>
      </c>
      <c r="R91" s="981">
        <f t="shared" si="52"/>
        <v>1</v>
      </c>
      <c r="S91" s="2056">
        <f t="shared" si="52"/>
        <v>15</v>
      </c>
      <c r="T91" s="881">
        <f t="shared" si="53"/>
        <v>18.899999999999999</v>
      </c>
      <c r="U91" s="882">
        <f t="shared" si="53"/>
        <v>21.799999999999997</v>
      </c>
      <c r="V91" s="882">
        <f t="shared" si="53"/>
        <v>23.699999999999996</v>
      </c>
      <c r="W91" s="882">
        <f t="shared" si="53"/>
        <v>25.599999999999994</v>
      </c>
      <c r="X91" s="882">
        <f t="shared" si="53"/>
        <v>32.499999999999993</v>
      </c>
      <c r="Y91" s="883">
        <f t="shared" si="53"/>
        <v>38.399999999999991</v>
      </c>
      <c r="Z91" s="1672"/>
      <c r="AA91" s="1703"/>
    </row>
    <row r="92" spans="1:28">
      <c r="A92" s="1674">
        <v>4</v>
      </c>
      <c r="B92" s="1675">
        <v>20403</v>
      </c>
      <c r="C92" s="1680">
        <v>0.04</v>
      </c>
      <c r="D92" s="1626" t="s">
        <v>606</v>
      </c>
      <c r="E92" s="2056">
        <f t="shared" ref="E92" si="57">E17-E67</f>
        <v>256</v>
      </c>
      <c r="F92" s="928">
        <f t="shared" si="51"/>
        <v>241.12</v>
      </c>
      <c r="G92" s="882">
        <f t="shared" si="51"/>
        <v>226.24</v>
      </c>
      <c r="H92" s="882">
        <f t="shared" si="51"/>
        <v>211.36</v>
      </c>
      <c r="I92" s="882">
        <f t="shared" si="51"/>
        <v>196.48000000000002</v>
      </c>
      <c r="J92" s="882">
        <f t="shared" si="51"/>
        <v>181.60000000000002</v>
      </c>
      <c r="K92" s="981">
        <f t="shared" si="51"/>
        <v>166.72000000000003</v>
      </c>
      <c r="L92" s="2056">
        <f t="shared" si="51"/>
        <v>1</v>
      </c>
      <c r="M92" s="928">
        <f t="shared" si="52"/>
        <v>0.92</v>
      </c>
      <c r="N92" s="882">
        <f t="shared" si="52"/>
        <v>0.84</v>
      </c>
      <c r="O92" s="882">
        <f t="shared" si="52"/>
        <v>0.76</v>
      </c>
      <c r="P92" s="882">
        <f t="shared" si="52"/>
        <v>0.67999999999999994</v>
      </c>
      <c r="Q92" s="882">
        <f t="shared" si="52"/>
        <v>0.6</v>
      </c>
      <c r="R92" s="981">
        <f t="shared" si="52"/>
        <v>0.52</v>
      </c>
      <c r="S92" s="2056">
        <f t="shared" si="52"/>
        <v>10</v>
      </c>
      <c r="T92" s="881">
        <f t="shared" si="53"/>
        <v>8.879999999999999</v>
      </c>
      <c r="U92" s="882">
        <f t="shared" si="53"/>
        <v>7.76</v>
      </c>
      <c r="V92" s="882">
        <f t="shared" si="53"/>
        <v>6.64</v>
      </c>
      <c r="W92" s="882">
        <f t="shared" si="53"/>
        <v>5.52</v>
      </c>
      <c r="X92" s="882">
        <f t="shared" si="53"/>
        <v>4.3999999999999995</v>
      </c>
      <c r="Y92" s="883">
        <f t="shared" si="53"/>
        <v>3.2799999999999994</v>
      </c>
      <c r="Z92" s="1672"/>
      <c r="AA92" s="1703"/>
    </row>
    <row r="93" spans="1:28">
      <c r="A93" s="1674">
        <v>5</v>
      </c>
      <c r="B93" s="1675">
        <v>205</v>
      </c>
      <c r="C93" s="1680"/>
      <c r="D93" s="1624" t="s">
        <v>275</v>
      </c>
      <c r="E93" s="1678">
        <f>SUM(E94:E97)</f>
        <v>977</v>
      </c>
      <c r="F93" s="958">
        <f>SUM(F94:F97)</f>
        <v>1111.76</v>
      </c>
      <c r="G93" s="954">
        <f>SUM(G94:G97)</f>
        <v>1024.98</v>
      </c>
      <c r="H93" s="954">
        <f t="shared" ref="H93:K93" si="58">SUM(H94:H97)</f>
        <v>924.99999999999989</v>
      </c>
      <c r="I93" s="954">
        <f t="shared" si="58"/>
        <v>811.2199999999998</v>
      </c>
      <c r="J93" s="954">
        <f t="shared" si="58"/>
        <v>649.83999999999992</v>
      </c>
      <c r="K93" s="955">
        <f t="shared" si="58"/>
        <v>490.9599999999997</v>
      </c>
      <c r="L93" s="1678">
        <f>SUM(L94:L97)</f>
        <v>494</v>
      </c>
      <c r="M93" s="958">
        <f>SUM(M94:M97)</f>
        <v>433.8</v>
      </c>
      <c r="N93" s="954">
        <f>SUM(N94:N97)</f>
        <v>1753.6</v>
      </c>
      <c r="O93" s="954">
        <f t="shared" ref="O93:R93" si="59">SUM(O94:O97)</f>
        <v>1553.4</v>
      </c>
      <c r="P93" s="954">
        <f t="shared" si="59"/>
        <v>1353.2</v>
      </c>
      <c r="Q93" s="954">
        <f t="shared" si="59"/>
        <v>1153</v>
      </c>
      <c r="R93" s="955">
        <f t="shared" si="59"/>
        <v>952.8</v>
      </c>
      <c r="S93" s="1678">
        <f>SUM(S94:S97)</f>
        <v>70</v>
      </c>
      <c r="T93" s="953">
        <f>SUM(T94:T97)</f>
        <v>63.8</v>
      </c>
      <c r="U93" s="954">
        <f>SUM(U94:U97)</f>
        <v>57.599999999999994</v>
      </c>
      <c r="V93" s="954">
        <f t="shared" ref="V93:Y93" si="60">SUM(V94:V97)</f>
        <v>291.39999999999998</v>
      </c>
      <c r="W93" s="954">
        <f t="shared" si="60"/>
        <v>265.2</v>
      </c>
      <c r="X93" s="954">
        <f t="shared" si="60"/>
        <v>240</v>
      </c>
      <c r="Y93" s="957">
        <f t="shared" si="60"/>
        <v>219.79999999999998</v>
      </c>
      <c r="Z93" s="1672"/>
      <c r="AA93" s="1703"/>
    </row>
    <row r="94" spans="1:28">
      <c r="A94" s="1687"/>
      <c r="B94" s="1688">
        <v>20501</v>
      </c>
      <c r="C94" s="1680">
        <v>0.08</v>
      </c>
      <c r="D94" s="1627" t="s">
        <v>582</v>
      </c>
      <c r="E94" s="2056">
        <f t="shared" ref="E94" si="61">E19-E69</f>
        <v>647</v>
      </c>
      <c r="F94" s="928">
        <f t="shared" ref="F94:L96" si="62">F19-F69</f>
        <v>760.16000000000008</v>
      </c>
      <c r="G94" s="882">
        <f t="shared" si="62"/>
        <v>713.48</v>
      </c>
      <c r="H94" s="882">
        <f t="shared" si="62"/>
        <v>639.59999999999991</v>
      </c>
      <c r="I94" s="882">
        <f t="shared" si="62"/>
        <v>568.91999999999985</v>
      </c>
      <c r="J94" s="882">
        <f t="shared" si="62"/>
        <v>452.63999999999987</v>
      </c>
      <c r="K94" s="981">
        <f t="shared" si="62"/>
        <v>332.35999999999967</v>
      </c>
      <c r="L94" s="2056">
        <f t="shared" si="62"/>
        <v>488</v>
      </c>
      <c r="M94" s="928">
        <f t="shared" ref="M94:S96" si="63">M19-M69</f>
        <v>428</v>
      </c>
      <c r="N94" s="882">
        <f t="shared" si="63"/>
        <v>608</v>
      </c>
      <c r="O94" s="882">
        <f t="shared" si="63"/>
        <v>528</v>
      </c>
      <c r="P94" s="882">
        <f t="shared" si="63"/>
        <v>448</v>
      </c>
      <c r="Q94" s="882">
        <f t="shared" si="63"/>
        <v>368</v>
      </c>
      <c r="R94" s="981">
        <f t="shared" si="63"/>
        <v>288</v>
      </c>
      <c r="S94" s="2056">
        <f t="shared" si="63"/>
        <v>35</v>
      </c>
      <c r="T94" s="881">
        <f t="shared" ref="T94:Y98" si="64">T19-T69</f>
        <v>35</v>
      </c>
      <c r="U94" s="882">
        <f t="shared" si="64"/>
        <v>35</v>
      </c>
      <c r="V94" s="882">
        <f t="shared" si="64"/>
        <v>275</v>
      </c>
      <c r="W94" s="882">
        <f t="shared" si="64"/>
        <v>255</v>
      </c>
      <c r="X94" s="882">
        <f t="shared" si="64"/>
        <v>235</v>
      </c>
      <c r="Y94" s="883">
        <f t="shared" si="64"/>
        <v>215</v>
      </c>
      <c r="Z94" s="1672"/>
      <c r="AA94" s="1703"/>
    </row>
    <row r="95" spans="1:28">
      <c r="A95" s="1687"/>
      <c r="B95" s="1688">
        <v>20502</v>
      </c>
      <c r="C95" s="1680">
        <v>0.1</v>
      </c>
      <c r="D95" s="1627" t="s">
        <v>583</v>
      </c>
      <c r="E95" s="2056">
        <f t="shared" ref="E95" si="65">E20-E70</f>
        <v>213</v>
      </c>
      <c r="F95" s="928">
        <f t="shared" si="62"/>
        <v>265.79999999999995</v>
      </c>
      <c r="G95" s="882">
        <f t="shared" si="62"/>
        <v>256.89999999999998</v>
      </c>
      <c r="H95" s="882">
        <f t="shared" si="62"/>
        <v>262</v>
      </c>
      <c r="I95" s="882">
        <f t="shared" si="62"/>
        <v>241.10000000000002</v>
      </c>
      <c r="J95" s="882">
        <f t="shared" si="62"/>
        <v>196.20000000000005</v>
      </c>
      <c r="K95" s="981">
        <f t="shared" si="62"/>
        <v>157.80000000000007</v>
      </c>
      <c r="L95" s="2056">
        <f t="shared" si="62"/>
        <v>4</v>
      </c>
      <c r="M95" s="928">
        <f t="shared" si="63"/>
        <v>3.8000000000000007</v>
      </c>
      <c r="N95" s="882">
        <f t="shared" si="63"/>
        <v>3.6000000000000014</v>
      </c>
      <c r="O95" s="882">
        <f t="shared" si="63"/>
        <v>3.4000000000000021</v>
      </c>
      <c r="P95" s="882">
        <f t="shared" si="63"/>
        <v>3.2000000000000028</v>
      </c>
      <c r="Q95" s="882">
        <f t="shared" si="63"/>
        <v>3.0000000000000036</v>
      </c>
      <c r="R95" s="981">
        <f t="shared" si="63"/>
        <v>2.8000000000000043</v>
      </c>
      <c r="S95" s="2056">
        <f t="shared" si="63"/>
        <v>30</v>
      </c>
      <c r="T95" s="881">
        <f t="shared" si="64"/>
        <v>23.799999999999997</v>
      </c>
      <c r="U95" s="882">
        <f t="shared" si="64"/>
        <v>17.599999999999994</v>
      </c>
      <c r="V95" s="882">
        <f t="shared" si="64"/>
        <v>11.399999999999991</v>
      </c>
      <c r="W95" s="882">
        <f t="shared" si="64"/>
        <v>5.1999999999999886</v>
      </c>
      <c r="X95" s="882">
        <f t="shared" si="64"/>
        <v>0</v>
      </c>
      <c r="Y95" s="883">
        <f t="shared" si="64"/>
        <v>-0.20000000000001705</v>
      </c>
      <c r="Z95" s="1672"/>
      <c r="AA95" s="1703"/>
    </row>
    <row r="96" spans="1:28">
      <c r="A96" s="1687"/>
      <c r="B96" s="1688">
        <v>20503</v>
      </c>
      <c r="C96" s="1680">
        <v>0.1</v>
      </c>
      <c r="D96" s="1625" t="s">
        <v>584</v>
      </c>
      <c r="E96" s="2056">
        <f t="shared" ref="E96" si="66">E21-E71</f>
        <v>115</v>
      </c>
      <c r="F96" s="928">
        <f t="shared" si="62"/>
        <v>84</v>
      </c>
      <c r="G96" s="882">
        <f t="shared" si="62"/>
        <v>53</v>
      </c>
      <c r="H96" s="882">
        <f t="shared" si="62"/>
        <v>22</v>
      </c>
      <c r="I96" s="882">
        <f t="shared" si="62"/>
        <v>0</v>
      </c>
      <c r="J96" s="882">
        <f t="shared" si="62"/>
        <v>0</v>
      </c>
      <c r="K96" s="981">
        <f t="shared" si="62"/>
        <v>0</v>
      </c>
      <c r="L96" s="2056">
        <f t="shared" si="62"/>
        <v>2</v>
      </c>
      <c r="M96" s="928">
        <f t="shared" si="63"/>
        <v>2</v>
      </c>
      <c r="N96" s="882">
        <f t="shared" si="63"/>
        <v>1142</v>
      </c>
      <c r="O96" s="882">
        <f t="shared" si="63"/>
        <v>1022</v>
      </c>
      <c r="P96" s="882">
        <f t="shared" si="63"/>
        <v>902</v>
      </c>
      <c r="Q96" s="882">
        <f t="shared" si="63"/>
        <v>782</v>
      </c>
      <c r="R96" s="981">
        <f t="shared" si="63"/>
        <v>662</v>
      </c>
      <c r="S96" s="2056">
        <f t="shared" si="63"/>
        <v>5</v>
      </c>
      <c r="T96" s="881">
        <f t="shared" si="64"/>
        <v>5</v>
      </c>
      <c r="U96" s="882">
        <f t="shared" si="64"/>
        <v>5</v>
      </c>
      <c r="V96" s="882">
        <f t="shared" si="64"/>
        <v>5</v>
      </c>
      <c r="W96" s="882">
        <f t="shared" si="64"/>
        <v>5</v>
      </c>
      <c r="X96" s="882">
        <f t="shared" si="64"/>
        <v>5</v>
      </c>
      <c r="Y96" s="883">
        <f t="shared" si="64"/>
        <v>5</v>
      </c>
      <c r="Z96" s="1672"/>
      <c r="AA96" s="1703"/>
    </row>
    <row r="97" spans="1:28">
      <c r="A97" s="1687"/>
      <c r="B97" s="1688">
        <v>20504</v>
      </c>
      <c r="C97" s="1680">
        <v>0.1</v>
      </c>
      <c r="D97" s="1625" t="s">
        <v>759</v>
      </c>
      <c r="E97" s="2056">
        <f t="shared" ref="E97" si="67">E22-E72</f>
        <v>2</v>
      </c>
      <c r="F97" s="928">
        <f t="shared" ref="F97:L97" si="68">F22-F72</f>
        <v>1.7999999999999972</v>
      </c>
      <c r="G97" s="882">
        <f t="shared" si="68"/>
        <v>1.5999999999999943</v>
      </c>
      <c r="H97" s="882">
        <f t="shared" si="68"/>
        <v>1.3999999999999915</v>
      </c>
      <c r="I97" s="882">
        <f t="shared" si="68"/>
        <v>1.1999999999999886</v>
      </c>
      <c r="J97" s="882">
        <f t="shared" si="68"/>
        <v>0.99999999999998579</v>
      </c>
      <c r="K97" s="981">
        <f t="shared" si="68"/>
        <v>0.79999999999998295</v>
      </c>
      <c r="L97" s="2056">
        <f t="shared" si="68"/>
        <v>0</v>
      </c>
      <c r="M97" s="928">
        <f t="shared" ref="M97:S97" si="69">M22-M72</f>
        <v>0</v>
      </c>
      <c r="N97" s="882">
        <f t="shared" si="69"/>
        <v>0</v>
      </c>
      <c r="O97" s="882">
        <f t="shared" si="69"/>
        <v>0</v>
      </c>
      <c r="P97" s="882">
        <f t="shared" si="69"/>
        <v>0</v>
      </c>
      <c r="Q97" s="882">
        <f t="shared" si="69"/>
        <v>0</v>
      </c>
      <c r="R97" s="981">
        <f t="shared" si="69"/>
        <v>0</v>
      </c>
      <c r="S97" s="2056">
        <f t="shared" si="69"/>
        <v>0</v>
      </c>
      <c r="T97" s="881">
        <f t="shared" si="64"/>
        <v>0</v>
      </c>
      <c r="U97" s="882">
        <f t="shared" si="64"/>
        <v>0</v>
      </c>
      <c r="V97" s="882">
        <f t="shared" si="64"/>
        <v>0</v>
      </c>
      <c r="W97" s="882">
        <f t="shared" si="64"/>
        <v>0</v>
      </c>
      <c r="X97" s="882">
        <f t="shared" si="64"/>
        <v>0</v>
      </c>
      <c r="Y97" s="883">
        <f t="shared" si="64"/>
        <v>0</v>
      </c>
      <c r="Z97" s="1672"/>
      <c r="AA97" s="1703"/>
    </row>
    <row r="98" spans="1:28">
      <c r="A98" s="1687">
        <v>6</v>
      </c>
      <c r="B98" s="1688">
        <v>208</v>
      </c>
      <c r="C98" s="1680">
        <v>0.2</v>
      </c>
      <c r="D98" s="1626" t="s">
        <v>585</v>
      </c>
      <c r="E98" s="2056">
        <f t="shared" ref="E98" si="70">E23-E73</f>
        <v>48</v>
      </c>
      <c r="F98" s="928">
        <f t="shared" ref="F98:L98" si="71">F23-F73</f>
        <v>27.199999999999989</v>
      </c>
      <c r="G98" s="882">
        <f t="shared" si="71"/>
        <v>6.3999999999999773</v>
      </c>
      <c r="H98" s="882">
        <f t="shared" si="71"/>
        <v>-0.40000000000003411</v>
      </c>
      <c r="I98" s="882">
        <f t="shared" si="71"/>
        <v>-0.20000000000004547</v>
      </c>
      <c r="J98" s="882">
        <f t="shared" si="71"/>
        <v>0</v>
      </c>
      <c r="K98" s="981">
        <f t="shared" si="71"/>
        <v>0.19999999999993179</v>
      </c>
      <c r="L98" s="2056">
        <f t="shared" si="71"/>
        <v>1</v>
      </c>
      <c r="M98" s="928">
        <f t="shared" ref="M98:S98" si="72">M23-M73</f>
        <v>0</v>
      </c>
      <c r="N98" s="882">
        <f t="shared" si="72"/>
        <v>0</v>
      </c>
      <c r="O98" s="882">
        <f t="shared" si="72"/>
        <v>0</v>
      </c>
      <c r="P98" s="882">
        <f t="shared" si="72"/>
        <v>0</v>
      </c>
      <c r="Q98" s="882">
        <f t="shared" si="72"/>
        <v>0</v>
      </c>
      <c r="R98" s="981">
        <f t="shared" si="72"/>
        <v>0</v>
      </c>
      <c r="S98" s="2056">
        <f t="shared" si="72"/>
        <v>3</v>
      </c>
      <c r="T98" s="881">
        <f t="shared" si="64"/>
        <v>2.5999999999999996</v>
      </c>
      <c r="U98" s="882">
        <f t="shared" si="64"/>
        <v>2.1999999999999993</v>
      </c>
      <c r="V98" s="882">
        <f t="shared" si="64"/>
        <v>1.7999999999999989</v>
      </c>
      <c r="W98" s="882">
        <f t="shared" si="64"/>
        <v>1.3999999999999986</v>
      </c>
      <c r="X98" s="882">
        <f t="shared" si="64"/>
        <v>0.99999999999999822</v>
      </c>
      <c r="Y98" s="883">
        <f t="shared" si="64"/>
        <v>0.59999999999999787</v>
      </c>
      <c r="Z98" s="1672"/>
      <c r="AA98" s="1703"/>
    </row>
    <row r="99" spans="1:28">
      <c r="A99" s="1687">
        <v>7</v>
      </c>
      <c r="B99" s="1689">
        <v>20601</v>
      </c>
      <c r="C99" s="1680">
        <v>0.1</v>
      </c>
      <c r="D99" s="1626" t="s">
        <v>766</v>
      </c>
      <c r="E99" s="2056">
        <f t="shared" ref="E99" si="73">E24-E74</f>
        <v>75</v>
      </c>
      <c r="F99" s="928">
        <f t="shared" ref="F99:L99" si="74">F24-F74</f>
        <v>142.65815797776807</v>
      </c>
      <c r="G99" s="882">
        <f>G24-G74</f>
        <v>147.60030601359114</v>
      </c>
      <c r="H99" s="882">
        <f t="shared" si="74"/>
        <v>170.85188381609413</v>
      </c>
      <c r="I99" s="882">
        <f t="shared" si="74"/>
        <v>200.54127343631905</v>
      </c>
      <c r="J99" s="882">
        <f t="shared" si="74"/>
        <v>234.8819779252035</v>
      </c>
      <c r="K99" s="981">
        <f t="shared" si="74"/>
        <v>279.09043164450981</v>
      </c>
      <c r="L99" s="2056">
        <f t="shared" si="74"/>
        <v>2</v>
      </c>
      <c r="M99" s="928">
        <f t="shared" ref="M99:S99" si="75">M24-M74</f>
        <v>3.4832534185947575</v>
      </c>
      <c r="N99" s="882">
        <f t="shared" si="75"/>
        <v>50.500290091219583</v>
      </c>
      <c r="O99" s="882">
        <f t="shared" si="75"/>
        <v>45.26278960641838</v>
      </c>
      <c r="P99" s="882">
        <f t="shared" si="75"/>
        <v>41.747897250064433</v>
      </c>
      <c r="Q99" s="882">
        <f t="shared" si="75"/>
        <v>36.913929963413025</v>
      </c>
      <c r="R99" s="981">
        <f t="shared" si="75"/>
        <v>29.5011414959327</v>
      </c>
      <c r="S99" s="2056">
        <f t="shared" si="75"/>
        <v>2</v>
      </c>
      <c r="T99" s="881">
        <f t="shared" ref="T99:Y99" si="76">T24-T74</f>
        <v>1.4585886036371729</v>
      </c>
      <c r="U99" s="882">
        <f t="shared" si="76"/>
        <v>2.6994038951892749</v>
      </c>
      <c r="V99" s="882">
        <f t="shared" si="76"/>
        <v>26.135326577487493</v>
      </c>
      <c r="W99" s="882">
        <f t="shared" si="76"/>
        <v>29.160829313616517</v>
      </c>
      <c r="X99" s="882">
        <f t="shared" si="76"/>
        <v>31.354092111383498</v>
      </c>
      <c r="Y99" s="883">
        <f t="shared" si="76"/>
        <v>34.758426859557531</v>
      </c>
      <c r="Z99" s="1672"/>
      <c r="AA99" s="1703"/>
    </row>
    <row r="100" spans="1:28">
      <c r="A100" s="1690">
        <v>8</v>
      </c>
      <c r="B100" s="1689">
        <v>20602</v>
      </c>
      <c r="C100" s="1680">
        <v>0.1</v>
      </c>
      <c r="D100" s="1626" t="s">
        <v>607</v>
      </c>
      <c r="E100" s="2056">
        <f>E25-E75</f>
        <v>25</v>
      </c>
      <c r="F100" s="928">
        <f>F25-F75</f>
        <v>19.799999999999997</v>
      </c>
      <c r="G100" s="882">
        <f t="shared" ref="G100:L100" si="77">G25-G75</f>
        <v>14.599999999999994</v>
      </c>
      <c r="H100" s="882">
        <f t="shared" si="77"/>
        <v>9.3999999999999915</v>
      </c>
      <c r="I100" s="882">
        <f t="shared" si="77"/>
        <v>4.1999999999999886</v>
      </c>
      <c r="J100" s="882">
        <f t="shared" si="77"/>
        <v>0</v>
      </c>
      <c r="K100" s="981">
        <f t="shared" si="77"/>
        <v>-0.20000000000001705</v>
      </c>
      <c r="L100" s="2056">
        <f t="shared" si="77"/>
        <v>1</v>
      </c>
      <c r="M100" s="928">
        <f t="shared" ref="M100:S100" si="78">M25-M75</f>
        <v>1</v>
      </c>
      <c r="N100" s="882">
        <f t="shared" si="78"/>
        <v>1</v>
      </c>
      <c r="O100" s="882">
        <f t="shared" si="78"/>
        <v>1</v>
      </c>
      <c r="P100" s="882">
        <f t="shared" si="78"/>
        <v>1</v>
      </c>
      <c r="Q100" s="882">
        <f t="shared" si="78"/>
        <v>1</v>
      </c>
      <c r="R100" s="981">
        <f t="shared" si="78"/>
        <v>1</v>
      </c>
      <c r="S100" s="2056">
        <f t="shared" si="78"/>
        <v>1</v>
      </c>
      <c r="T100" s="881">
        <f t="shared" ref="T100:Y100" si="79">T25-T75</f>
        <v>0</v>
      </c>
      <c r="U100" s="882">
        <f t="shared" si="79"/>
        <v>0</v>
      </c>
      <c r="V100" s="882">
        <f t="shared" si="79"/>
        <v>0</v>
      </c>
      <c r="W100" s="882">
        <f t="shared" si="79"/>
        <v>0</v>
      </c>
      <c r="X100" s="882">
        <f t="shared" si="79"/>
        <v>0</v>
      </c>
      <c r="Y100" s="883">
        <f t="shared" si="79"/>
        <v>0</v>
      </c>
      <c r="Z100" s="1672"/>
      <c r="AA100" s="1703"/>
    </row>
    <row r="101" spans="1:28">
      <c r="A101" s="1690">
        <v>9</v>
      </c>
      <c r="B101" s="1688">
        <v>20603</v>
      </c>
      <c r="C101" s="1680">
        <v>0.5</v>
      </c>
      <c r="D101" s="1626" t="s">
        <v>1441</v>
      </c>
      <c r="E101" s="2056">
        <f t="shared" ref="E101" si="80">E26-E76</f>
        <v>1</v>
      </c>
      <c r="F101" s="928">
        <f t="shared" ref="F101:K101" si="81">F26-F76</f>
        <v>1</v>
      </c>
      <c r="G101" s="882">
        <f t="shared" si="81"/>
        <v>1</v>
      </c>
      <c r="H101" s="882">
        <f t="shared" si="81"/>
        <v>1</v>
      </c>
      <c r="I101" s="882">
        <f t="shared" si="81"/>
        <v>1</v>
      </c>
      <c r="J101" s="882">
        <f t="shared" si="81"/>
        <v>1</v>
      </c>
      <c r="K101" s="981">
        <f t="shared" si="81"/>
        <v>1</v>
      </c>
      <c r="L101" s="2056">
        <f>L26-L76</f>
        <v>0</v>
      </c>
      <c r="M101" s="928">
        <f>M26-M76</f>
        <v>0</v>
      </c>
      <c r="N101" s="882">
        <f t="shared" ref="N101:R101" si="82">N26-N76</f>
        <v>0</v>
      </c>
      <c r="O101" s="882">
        <f t="shared" si="82"/>
        <v>0</v>
      </c>
      <c r="P101" s="882">
        <f t="shared" si="82"/>
        <v>0</v>
      </c>
      <c r="Q101" s="882">
        <f t="shared" si="82"/>
        <v>0</v>
      </c>
      <c r="R101" s="981">
        <f t="shared" si="82"/>
        <v>0</v>
      </c>
      <c r="S101" s="2056">
        <f>S26-S76</f>
        <v>0</v>
      </c>
      <c r="T101" s="881">
        <f t="shared" ref="T101:Y101" si="83">T26-T76</f>
        <v>0</v>
      </c>
      <c r="U101" s="882">
        <f t="shared" si="83"/>
        <v>0</v>
      </c>
      <c r="V101" s="882">
        <f t="shared" si="83"/>
        <v>0</v>
      </c>
      <c r="W101" s="882">
        <f t="shared" si="83"/>
        <v>0</v>
      </c>
      <c r="X101" s="882">
        <f t="shared" si="83"/>
        <v>0</v>
      </c>
      <c r="Y101" s="883">
        <f t="shared" si="83"/>
        <v>0</v>
      </c>
      <c r="Z101" s="1672"/>
      <c r="AA101" s="1703"/>
    </row>
    <row r="102" spans="1:28">
      <c r="A102" s="1690">
        <v>10</v>
      </c>
      <c r="B102" s="1688">
        <v>209</v>
      </c>
      <c r="C102" s="1680">
        <v>0.1</v>
      </c>
      <c r="D102" s="1626" t="s">
        <v>276</v>
      </c>
      <c r="E102" s="2056">
        <f t="shared" ref="E102" si="84">E27-E77</f>
        <v>0</v>
      </c>
      <c r="F102" s="928">
        <f t="shared" ref="F102:L102" si="85">F27-F77</f>
        <v>0</v>
      </c>
      <c r="G102" s="882">
        <f>G27-G77</f>
        <v>0</v>
      </c>
      <c r="H102" s="882">
        <f t="shared" si="85"/>
        <v>0</v>
      </c>
      <c r="I102" s="882">
        <f t="shared" si="85"/>
        <v>0</v>
      </c>
      <c r="J102" s="882">
        <f t="shared" si="85"/>
        <v>0</v>
      </c>
      <c r="K102" s="981">
        <f t="shared" si="85"/>
        <v>0</v>
      </c>
      <c r="L102" s="2056">
        <f t="shared" si="85"/>
        <v>0</v>
      </c>
      <c r="M102" s="928">
        <f t="shared" ref="M102:S102" si="86">M27-M77</f>
        <v>0</v>
      </c>
      <c r="N102" s="882">
        <f t="shared" si="86"/>
        <v>0</v>
      </c>
      <c r="O102" s="882">
        <f t="shared" si="86"/>
        <v>0</v>
      </c>
      <c r="P102" s="882">
        <f t="shared" si="86"/>
        <v>0</v>
      </c>
      <c r="Q102" s="882">
        <f t="shared" si="86"/>
        <v>0</v>
      </c>
      <c r="R102" s="981">
        <f t="shared" si="86"/>
        <v>0</v>
      </c>
      <c r="S102" s="2056">
        <f t="shared" si="86"/>
        <v>0</v>
      </c>
      <c r="T102" s="881">
        <f t="shared" ref="T102:Y102" si="87">T27-T77</f>
        <v>0</v>
      </c>
      <c r="U102" s="882">
        <f t="shared" si="87"/>
        <v>0</v>
      </c>
      <c r="V102" s="882">
        <f t="shared" si="87"/>
        <v>0</v>
      </c>
      <c r="W102" s="882">
        <f t="shared" si="87"/>
        <v>0</v>
      </c>
      <c r="X102" s="882">
        <f t="shared" si="87"/>
        <v>0</v>
      </c>
      <c r="Y102" s="883">
        <f t="shared" si="87"/>
        <v>0</v>
      </c>
      <c r="Z102" s="1672"/>
      <c r="AA102" s="1703"/>
    </row>
    <row r="103" spans="1:28" ht="24">
      <c r="A103" s="1690">
        <v>11</v>
      </c>
      <c r="B103" s="1688">
        <v>207</v>
      </c>
      <c r="C103" s="1680" t="s">
        <v>380</v>
      </c>
      <c r="D103" s="1628" t="s">
        <v>586</v>
      </c>
      <c r="E103" s="2056">
        <f t="shared" ref="E103" si="88">E28-E78</f>
        <v>237</v>
      </c>
      <c r="F103" s="928">
        <f t="shared" ref="F103:L103" si="89">F28-F78</f>
        <v>237</v>
      </c>
      <c r="G103" s="882">
        <f t="shared" si="89"/>
        <v>237</v>
      </c>
      <c r="H103" s="882">
        <f t="shared" si="89"/>
        <v>237</v>
      </c>
      <c r="I103" s="882">
        <f t="shared" si="89"/>
        <v>237</v>
      </c>
      <c r="J103" s="882">
        <f t="shared" si="89"/>
        <v>237</v>
      </c>
      <c r="K103" s="981">
        <f t="shared" si="89"/>
        <v>237</v>
      </c>
      <c r="L103" s="2056">
        <f t="shared" si="89"/>
        <v>0</v>
      </c>
      <c r="M103" s="928">
        <f t="shared" ref="M103:S103" si="90">M28-M78</f>
        <v>0</v>
      </c>
      <c r="N103" s="882">
        <f t="shared" si="90"/>
        <v>0</v>
      </c>
      <c r="O103" s="882">
        <f t="shared" si="90"/>
        <v>0</v>
      </c>
      <c r="P103" s="882">
        <f t="shared" si="90"/>
        <v>0</v>
      </c>
      <c r="Q103" s="882">
        <f t="shared" si="90"/>
        <v>0</v>
      </c>
      <c r="R103" s="981">
        <f t="shared" si="90"/>
        <v>0</v>
      </c>
      <c r="S103" s="2056">
        <f t="shared" si="90"/>
        <v>0</v>
      </c>
      <c r="T103" s="881">
        <f t="shared" ref="T103:Y103" si="91">T28-T78</f>
        <v>0</v>
      </c>
      <c r="U103" s="882">
        <f t="shared" si="91"/>
        <v>0</v>
      </c>
      <c r="V103" s="882">
        <f t="shared" si="91"/>
        <v>0</v>
      </c>
      <c r="W103" s="882">
        <f t="shared" si="91"/>
        <v>0</v>
      </c>
      <c r="X103" s="882">
        <f t="shared" si="91"/>
        <v>0</v>
      </c>
      <c r="Y103" s="883">
        <f t="shared" si="91"/>
        <v>0</v>
      </c>
      <c r="Z103" s="1672"/>
      <c r="AA103" s="1679"/>
      <c r="AB103" s="1642"/>
    </row>
    <row r="104" spans="1:28">
      <c r="A104" s="1690">
        <v>12</v>
      </c>
      <c r="B104" s="1688">
        <v>212</v>
      </c>
      <c r="C104" s="1680">
        <v>0.2</v>
      </c>
      <c r="D104" s="1629" t="s">
        <v>277</v>
      </c>
      <c r="E104" s="2056">
        <f t="shared" ref="E104" si="92">E29-E79</f>
        <v>7</v>
      </c>
      <c r="F104" s="928">
        <f t="shared" ref="F104:L104" si="93">F29-F79</f>
        <v>5.1020162856171964</v>
      </c>
      <c r="G104" s="882">
        <f t="shared" si="93"/>
        <v>5.8876073094209005</v>
      </c>
      <c r="H104" s="882">
        <f t="shared" si="93"/>
        <v>9.7876139298908527</v>
      </c>
      <c r="I104" s="882">
        <f t="shared" si="93"/>
        <v>15.486113787109275</v>
      </c>
      <c r="J104" s="882">
        <f t="shared" si="93"/>
        <v>19.978592808120936</v>
      </c>
      <c r="K104" s="981">
        <f t="shared" si="93"/>
        <v>23.075297754191297</v>
      </c>
      <c r="L104" s="2056">
        <f t="shared" si="93"/>
        <v>-2</v>
      </c>
      <c r="M104" s="928">
        <f t="shared" ref="M104:S108" si="94">M29-M79</f>
        <v>-1.933630613305465</v>
      </c>
      <c r="N104" s="882">
        <f t="shared" si="94"/>
        <v>3.8912052183965136</v>
      </c>
      <c r="O104" s="882">
        <f t="shared" si="94"/>
        <v>2.8174075562623164</v>
      </c>
      <c r="P104" s="882">
        <f t="shared" si="94"/>
        <v>1.7447696533251467</v>
      </c>
      <c r="Q104" s="882">
        <f t="shared" si="94"/>
        <v>0.15688476316128153</v>
      </c>
      <c r="R104" s="981">
        <f t="shared" si="94"/>
        <v>-2.0157060570374288</v>
      </c>
      <c r="S104" s="2056">
        <f t="shared" si="94"/>
        <v>0</v>
      </c>
      <c r="T104" s="881">
        <f t="shared" ref="T104:Y104" si="95">T29-T79</f>
        <v>3.1614327688261668E-2</v>
      </c>
      <c r="U104" s="882">
        <f t="shared" si="95"/>
        <v>1.2211874721825851</v>
      </c>
      <c r="V104" s="882">
        <f t="shared" si="95"/>
        <v>5.1949785138468325</v>
      </c>
      <c r="W104" s="882">
        <f t="shared" si="95"/>
        <v>6.3691165595655832</v>
      </c>
      <c r="X104" s="882">
        <f t="shared" si="95"/>
        <v>7.2645224287177923</v>
      </c>
      <c r="Y104" s="883">
        <f t="shared" si="95"/>
        <v>8.1404083028461613</v>
      </c>
      <c r="Z104" s="1672"/>
      <c r="AA104" s="1703"/>
    </row>
    <row r="105" spans="1:28">
      <c r="A105" s="1690">
        <v>13</v>
      </c>
      <c r="B105" s="1687">
        <v>213</v>
      </c>
      <c r="C105" s="1691">
        <v>0.2</v>
      </c>
      <c r="D105" s="272" t="s">
        <v>278</v>
      </c>
      <c r="E105" s="2056">
        <f t="shared" ref="E105" si="96">E30-E80</f>
        <v>0</v>
      </c>
      <c r="F105" s="928">
        <f t="shared" ref="F105:L105" si="97">F30-F80</f>
        <v>0</v>
      </c>
      <c r="G105" s="882">
        <f t="shared" si="97"/>
        <v>0</v>
      </c>
      <c r="H105" s="882">
        <f t="shared" si="97"/>
        <v>0</v>
      </c>
      <c r="I105" s="882">
        <f t="shared" si="97"/>
        <v>0</v>
      </c>
      <c r="J105" s="882">
        <f t="shared" si="97"/>
        <v>0</v>
      </c>
      <c r="K105" s="981">
        <f t="shared" si="97"/>
        <v>0</v>
      </c>
      <c r="L105" s="2056">
        <f t="shared" si="97"/>
        <v>0</v>
      </c>
      <c r="M105" s="928">
        <f t="shared" si="94"/>
        <v>0</v>
      </c>
      <c r="N105" s="882">
        <f t="shared" si="94"/>
        <v>0</v>
      </c>
      <c r="O105" s="882">
        <f t="shared" si="94"/>
        <v>0</v>
      </c>
      <c r="P105" s="882">
        <f t="shared" si="94"/>
        <v>0</v>
      </c>
      <c r="Q105" s="882">
        <f t="shared" si="94"/>
        <v>0</v>
      </c>
      <c r="R105" s="981">
        <f t="shared" si="94"/>
        <v>0</v>
      </c>
      <c r="S105" s="2056">
        <f t="shared" si="94"/>
        <v>0</v>
      </c>
      <c r="T105" s="881">
        <f t="shared" ref="T105:Y105" si="98">T30-T80</f>
        <v>0</v>
      </c>
      <c r="U105" s="882">
        <f t="shared" si="98"/>
        <v>0</v>
      </c>
      <c r="V105" s="882">
        <f t="shared" si="98"/>
        <v>0</v>
      </c>
      <c r="W105" s="882">
        <f t="shared" si="98"/>
        <v>0</v>
      </c>
      <c r="X105" s="882">
        <f t="shared" si="98"/>
        <v>0</v>
      </c>
      <c r="Y105" s="883">
        <f t="shared" si="98"/>
        <v>0</v>
      </c>
      <c r="Z105" s="1672"/>
      <c r="AA105" s="1703"/>
    </row>
    <row r="106" spans="1:28">
      <c r="A106" s="1690">
        <v>14</v>
      </c>
      <c r="B106" s="1692"/>
      <c r="C106" s="1692"/>
      <c r="D106" s="526" t="s">
        <v>844</v>
      </c>
      <c r="E106" s="2056">
        <f t="shared" ref="E106" si="99">E31-E81</f>
        <v>0</v>
      </c>
      <c r="F106" s="928">
        <f t="shared" ref="F106:L108" si="100">F31-F81</f>
        <v>0</v>
      </c>
      <c r="G106" s="882">
        <f t="shared" si="100"/>
        <v>0</v>
      </c>
      <c r="H106" s="882">
        <f t="shared" si="100"/>
        <v>0</v>
      </c>
      <c r="I106" s="882">
        <f t="shared" si="100"/>
        <v>0</v>
      </c>
      <c r="J106" s="882">
        <f t="shared" si="100"/>
        <v>0</v>
      </c>
      <c r="K106" s="981">
        <f t="shared" si="100"/>
        <v>0</v>
      </c>
      <c r="L106" s="2056">
        <f t="shared" si="100"/>
        <v>0</v>
      </c>
      <c r="M106" s="928">
        <f t="shared" si="94"/>
        <v>0</v>
      </c>
      <c r="N106" s="882">
        <f t="shared" si="94"/>
        <v>0</v>
      </c>
      <c r="O106" s="882">
        <f t="shared" si="94"/>
        <v>0</v>
      </c>
      <c r="P106" s="882">
        <f t="shared" si="94"/>
        <v>0</v>
      </c>
      <c r="Q106" s="882">
        <f t="shared" si="94"/>
        <v>0</v>
      </c>
      <c r="R106" s="981">
        <f t="shared" si="94"/>
        <v>0</v>
      </c>
      <c r="S106" s="2056">
        <f t="shared" si="94"/>
        <v>0</v>
      </c>
      <c r="T106" s="881">
        <f t="shared" ref="T106:Y108" si="101">T31-T81</f>
        <v>0</v>
      </c>
      <c r="U106" s="882">
        <f t="shared" si="101"/>
        <v>0</v>
      </c>
      <c r="V106" s="882">
        <f t="shared" si="101"/>
        <v>0</v>
      </c>
      <c r="W106" s="882">
        <f t="shared" si="101"/>
        <v>0</v>
      </c>
      <c r="X106" s="882">
        <f t="shared" si="101"/>
        <v>0</v>
      </c>
      <c r="Y106" s="883">
        <f t="shared" si="101"/>
        <v>0</v>
      </c>
      <c r="Z106" s="1672"/>
      <c r="AA106" s="1703"/>
    </row>
    <row r="107" spans="1:28">
      <c r="A107" s="1690">
        <v>15</v>
      </c>
      <c r="B107" s="1687">
        <v>207</v>
      </c>
      <c r="C107" s="1687" t="s">
        <v>380</v>
      </c>
      <c r="D107" s="272" t="s">
        <v>587</v>
      </c>
      <c r="E107" s="2056">
        <f t="shared" ref="E107" si="102">E32-E82</f>
        <v>0</v>
      </c>
      <c r="F107" s="928">
        <f t="shared" si="100"/>
        <v>0</v>
      </c>
      <c r="G107" s="882">
        <f t="shared" si="100"/>
        <v>0</v>
      </c>
      <c r="H107" s="882">
        <f t="shared" si="100"/>
        <v>0</v>
      </c>
      <c r="I107" s="882">
        <f t="shared" si="100"/>
        <v>0</v>
      </c>
      <c r="J107" s="882">
        <f t="shared" si="100"/>
        <v>0</v>
      </c>
      <c r="K107" s="981">
        <f t="shared" si="100"/>
        <v>0</v>
      </c>
      <c r="L107" s="2056">
        <f t="shared" si="100"/>
        <v>0</v>
      </c>
      <c r="M107" s="928">
        <f t="shared" si="94"/>
        <v>0</v>
      </c>
      <c r="N107" s="882">
        <f t="shared" si="94"/>
        <v>0</v>
      </c>
      <c r="O107" s="882">
        <f t="shared" si="94"/>
        <v>0</v>
      </c>
      <c r="P107" s="882">
        <f t="shared" si="94"/>
        <v>0</v>
      </c>
      <c r="Q107" s="882">
        <f t="shared" si="94"/>
        <v>0</v>
      </c>
      <c r="R107" s="981">
        <f t="shared" si="94"/>
        <v>0</v>
      </c>
      <c r="S107" s="2056">
        <f t="shared" si="94"/>
        <v>0</v>
      </c>
      <c r="T107" s="881">
        <f t="shared" si="101"/>
        <v>0</v>
      </c>
      <c r="U107" s="882">
        <f t="shared" si="101"/>
        <v>0</v>
      </c>
      <c r="V107" s="882">
        <f t="shared" si="101"/>
        <v>0</v>
      </c>
      <c r="W107" s="882">
        <f t="shared" si="101"/>
        <v>0</v>
      </c>
      <c r="X107" s="882">
        <f t="shared" si="101"/>
        <v>0</v>
      </c>
      <c r="Y107" s="883">
        <f t="shared" si="101"/>
        <v>0</v>
      </c>
      <c r="Z107" s="1672"/>
      <c r="AA107" s="1703"/>
    </row>
    <row r="108" spans="1:28" ht="13.5" thickBot="1">
      <c r="A108" s="1690">
        <v>16</v>
      </c>
      <c r="B108" s="1693">
        <v>219</v>
      </c>
      <c r="C108" s="1694">
        <v>0.1</v>
      </c>
      <c r="D108" s="277" t="s">
        <v>279</v>
      </c>
      <c r="E108" s="2058">
        <f t="shared" ref="E108" si="103">E33-E83</f>
        <v>84</v>
      </c>
      <c r="F108" s="928">
        <f t="shared" si="100"/>
        <v>67</v>
      </c>
      <c r="G108" s="882">
        <f t="shared" si="100"/>
        <v>50</v>
      </c>
      <c r="H108" s="882">
        <f t="shared" si="100"/>
        <v>33</v>
      </c>
      <c r="I108" s="882">
        <f t="shared" si="100"/>
        <v>16</v>
      </c>
      <c r="J108" s="882">
        <f t="shared" si="100"/>
        <v>0</v>
      </c>
      <c r="K108" s="981">
        <f t="shared" si="100"/>
        <v>0</v>
      </c>
      <c r="L108" s="2058">
        <f t="shared" si="100"/>
        <v>1</v>
      </c>
      <c r="M108" s="928">
        <f t="shared" si="94"/>
        <v>1</v>
      </c>
      <c r="N108" s="882">
        <f t="shared" si="94"/>
        <v>1</v>
      </c>
      <c r="O108" s="882">
        <f t="shared" si="94"/>
        <v>1</v>
      </c>
      <c r="P108" s="882">
        <f t="shared" si="94"/>
        <v>1</v>
      </c>
      <c r="Q108" s="882">
        <f t="shared" si="94"/>
        <v>1</v>
      </c>
      <c r="R108" s="981">
        <f t="shared" si="94"/>
        <v>1</v>
      </c>
      <c r="S108" s="2058">
        <f t="shared" si="94"/>
        <v>0</v>
      </c>
      <c r="T108" s="881">
        <f t="shared" si="101"/>
        <v>0</v>
      </c>
      <c r="U108" s="882">
        <f t="shared" si="101"/>
        <v>0</v>
      </c>
      <c r="V108" s="882">
        <f t="shared" si="101"/>
        <v>0</v>
      </c>
      <c r="W108" s="882">
        <f t="shared" si="101"/>
        <v>0</v>
      </c>
      <c r="X108" s="882">
        <f t="shared" si="101"/>
        <v>0</v>
      </c>
      <c r="Y108" s="883">
        <f t="shared" si="101"/>
        <v>0</v>
      </c>
      <c r="Z108" s="1713"/>
      <c r="AA108" s="1702"/>
      <c r="AB108" s="1642"/>
    </row>
    <row r="109" spans="1:28" ht="24.75" thickBot="1">
      <c r="A109" s="1714" t="s">
        <v>588</v>
      </c>
      <c r="B109" s="1714"/>
      <c r="C109" s="1714"/>
      <c r="D109" s="1715" t="s">
        <v>866</v>
      </c>
      <c r="E109" s="1655"/>
      <c r="F109" s="1716"/>
      <c r="G109" s="1658"/>
      <c r="H109" s="1658"/>
      <c r="I109" s="1658"/>
      <c r="J109" s="1658"/>
      <c r="K109" s="1717"/>
      <c r="L109" s="1655"/>
      <c r="M109" s="1661"/>
      <c r="N109" s="1657"/>
      <c r="O109" s="1657"/>
      <c r="P109" s="1657"/>
      <c r="Q109" s="1657"/>
      <c r="R109" s="1659"/>
      <c r="S109" s="1655"/>
      <c r="T109" s="1716"/>
      <c r="U109" s="1658"/>
      <c r="V109" s="1658"/>
      <c r="W109" s="1658"/>
      <c r="X109" s="1658"/>
      <c r="Y109" s="1717"/>
      <c r="Z109" s="1718"/>
      <c r="AA109" s="1702"/>
      <c r="AB109" s="1664"/>
    </row>
    <row r="110" spans="1:28" s="1643" customFormat="1" ht="13.5" thickBot="1">
      <c r="A110" s="1665" t="s">
        <v>268</v>
      </c>
      <c r="B110" s="1666"/>
      <c r="C110" s="1666"/>
      <c r="D110" s="1666" t="s">
        <v>483</v>
      </c>
      <c r="E110" s="1719">
        <f t="shared" ref="E110:Y110" si="104">SUM(E111:E129)</f>
        <v>0</v>
      </c>
      <c r="F110" s="1720">
        <f t="shared" si="104"/>
        <v>2055</v>
      </c>
      <c r="G110" s="1721">
        <f t="shared" si="104"/>
        <v>2815</v>
      </c>
      <c r="H110" s="1721">
        <f t="shared" si="104"/>
        <v>3540</v>
      </c>
      <c r="I110" s="1722">
        <f t="shared" si="104"/>
        <v>4200</v>
      </c>
      <c r="J110" s="1721">
        <f t="shared" si="104"/>
        <v>4870</v>
      </c>
      <c r="K110" s="1721">
        <f t="shared" si="104"/>
        <v>5485</v>
      </c>
      <c r="L110" s="1719">
        <f t="shared" si="104"/>
        <v>0</v>
      </c>
      <c r="M110" s="1723">
        <f t="shared" si="104"/>
        <v>55</v>
      </c>
      <c r="N110" s="1724">
        <f t="shared" si="104"/>
        <v>98</v>
      </c>
      <c r="O110" s="1724">
        <f t="shared" si="104"/>
        <v>136</v>
      </c>
      <c r="P110" s="1725">
        <f t="shared" si="104"/>
        <v>208</v>
      </c>
      <c r="Q110" s="1724">
        <f t="shared" si="104"/>
        <v>269</v>
      </c>
      <c r="R110" s="1724">
        <f t="shared" si="104"/>
        <v>312</v>
      </c>
      <c r="S110" s="1719">
        <f t="shared" si="104"/>
        <v>0</v>
      </c>
      <c r="T110" s="1720">
        <f t="shared" si="104"/>
        <v>0</v>
      </c>
      <c r="U110" s="1721">
        <f t="shared" si="104"/>
        <v>39</v>
      </c>
      <c r="V110" s="1721">
        <f t="shared" si="104"/>
        <v>73</v>
      </c>
      <c r="W110" s="1722">
        <f t="shared" si="104"/>
        <v>119</v>
      </c>
      <c r="X110" s="1721">
        <f t="shared" si="104"/>
        <v>150</v>
      </c>
      <c r="Y110" s="1726">
        <f t="shared" si="104"/>
        <v>191</v>
      </c>
      <c r="Z110" s="1667"/>
      <c r="AA110" s="1703"/>
      <c r="AB110" s="1727"/>
    </row>
    <row r="111" spans="1:28" s="1643" customFormat="1">
      <c r="A111" s="1674">
        <v>1</v>
      </c>
      <c r="B111" s="1669">
        <v>20102</v>
      </c>
      <c r="C111" s="1691">
        <v>0</v>
      </c>
      <c r="D111" s="280" t="s">
        <v>760</v>
      </c>
      <c r="E111" s="2246">
        <v>0</v>
      </c>
      <c r="F111" s="896">
        <f>E111+SUMIF('11.1.Амортиз.нови активи'!$B$11:$B$58,$B111,'11.1.Амортиз.нови активи'!F$11:F$58)+('9.Инвестиционна програма'!F$77*SUMIF('11.1.Амортиз.нови активи'!$B$11:$B$58,$B111,'11.1.Амортиз.нови активи'!AA$11:AA$58))</f>
        <v>0</v>
      </c>
      <c r="G111" s="1494">
        <f>F111+SUMIF('11.1.Амортиз.нови активи'!$B$11:$B$58,$B111,'11.1.Амортиз.нови активи'!G$11:G$58)+('9.Инвестиционна програма'!G$77*SUMIF('11.1.Амортиз.нови активи'!$B$11:$B$58,$B111,'11.1.Амортиз.нови активи'!AB$11:AB$58))</f>
        <v>0</v>
      </c>
      <c r="H111" s="897">
        <f>G111+SUMIF('11.1.Амортиз.нови активи'!$B$11:$B$58,$B111,'11.1.Амортиз.нови активи'!H$11:H$58)+('9.Инвестиционна програма'!H$77*SUMIF('11.1.Амортиз.нови активи'!$B$11:$B$58,$B111,'11.1.Амортиз.нови активи'!AC$11:AC$58))</f>
        <v>0</v>
      </c>
      <c r="I111" s="897">
        <f>H111+SUMIF('11.1.Амортиз.нови активи'!$B$11:$B$58,$B111,'11.1.Амортиз.нови активи'!I$11:I$58)+('9.Инвестиционна програма'!I$77*SUMIF('11.1.Амортиз.нови активи'!$B$11:$B$58,$B111,'11.1.Амортиз.нови активи'!AD$11:AD$58))</f>
        <v>0</v>
      </c>
      <c r="J111" s="897">
        <f>I111+SUMIF('11.1.Амортиз.нови активи'!$B$11:$B$58,$B111,'11.1.Амортиз.нови активи'!J$11:J$58)+('9.Инвестиционна програма'!J$77*SUMIF('11.1.Амортиз.нови активи'!$B$11:$B$58,$B111,'11.1.Амортиз.нови активи'!AE$11:AE$58))</f>
        <v>0</v>
      </c>
      <c r="K111" s="898">
        <f>J111+SUMIF('11.1.Амортиз.нови активи'!$B$11:$B$58,$B111,'11.1.Амортиз.нови активи'!K$11:K$58)+('9.Инвестиционна програма'!K$77*SUMIF('11.1.Амортиз.нови активи'!$B$11:$B$58,$B111,'11.1.Амортиз.нови активи'!AF$11:AF$58))</f>
        <v>0</v>
      </c>
      <c r="L111" s="2246">
        <v>0</v>
      </c>
      <c r="M111" s="896">
        <f>L111+SUMIF('11.1.Амортиз.нови активи'!$B$11:$B$58,$B111,'11.1.Амортиз.нови активи'!M$11:M$58)+('9.Инвестиционна програма'!F$78*SUMIF('11.1.Амортиз.нови активи'!$B$11:$B$58,$B111,'11.1.Амортиз.нови активи'!AA$11:AA$58))</f>
        <v>0</v>
      </c>
      <c r="N111" s="897">
        <f>M111+SUMIF('11.1.Амортиз.нови активи'!$B$11:$B$58,$B111,'11.1.Амортиз.нови активи'!N$11:N$58)+('9.Инвестиционна програма'!G$78*SUMIF('11.1.Амортиз.нови активи'!$B$11:$B$58,$B111,'11.1.Амортиз.нови активи'!AB$11:AB$58))</f>
        <v>0</v>
      </c>
      <c r="O111" s="897">
        <f>N111+SUMIF('11.1.Амортиз.нови активи'!$B$11:$B$58,$B111,'11.1.Амортиз.нови активи'!O$11:O$58)+('9.Инвестиционна програма'!H$78*SUMIF('11.1.Амортиз.нови активи'!$B$11:$B$58,$B111,'11.1.Амортиз.нови активи'!AC$11:AC$58))</f>
        <v>0</v>
      </c>
      <c r="P111" s="897">
        <f>O111+SUMIF('11.1.Амортиз.нови активи'!$B$11:$B$58,$B111,'11.1.Амортиз.нови активи'!P$11:P$58)+('9.Инвестиционна програма'!I$78*SUMIF('11.1.Амортиз.нови активи'!$B$11:$B$58,$B111,'11.1.Амортиз.нови активи'!AD$11:AD$58))</f>
        <v>0</v>
      </c>
      <c r="Q111" s="897">
        <f>P111+SUMIF('11.1.Амортиз.нови активи'!$B$11:$B$58,$B111,'11.1.Амортиз.нови активи'!Q$11:Q$58)+('9.Инвестиционна програма'!J$78*SUMIF('11.1.Амортиз.нови активи'!$B$11:$B$58,$B111,'11.1.Амортиз.нови активи'!AE$11:AE$58))</f>
        <v>0</v>
      </c>
      <c r="R111" s="898">
        <f>Q111+SUMIF('11.1.Амортиз.нови активи'!$B$11:$B$58,$B111,'11.1.Амортиз.нови активи'!R$11:R$58)+('9.Инвестиционна програма'!K$78*SUMIF('11.1.Амортиз.нови активи'!$B$11:$B$58,$B111,'11.1.Амортиз.нови активи'!AF$11:AF$58))</f>
        <v>0</v>
      </c>
      <c r="S111" s="2246">
        <v>0</v>
      </c>
      <c r="T111" s="896">
        <f>S111+SUMIF('11.1.Амортиз.нови активи'!$B$11:$B$58,$B111,'11.1.Амортиз.нови активи'!T$11:T$58)+('9.Инвестиционна програма'!F$79*SUMIF('11.1.Амортиз.нови активи'!$B$11:$B$58,$B111,'11.1.Амортиз.нови активи'!AA$11:AA$58))</f>
        <v>0</v>
      </c>
      <c r="U111" s="897">
        <f>T111+SUMIF('11.1.Амортиз.нови активи'!$B$11:$B$58,$B111,'11.1.Амортиз.нови активи'!U$11:U$58)+('9.Инвестиционна програма'!G$79*SUMIF('11.1.Амортиз.нови активи'!$B$11:$B$58,$B111,'11.1.Амортиз.нови активи'!AB$11:AB$58))</f>
        <v>0</v>
      </c>
      <c r="V111" s="897">
        <f>U111+SUMIF('11.1.Амортиз.нови активи'!$B$11:$B$58,$B111,'11.1.Амортиз.нови активи'!V$11:V$58)+('9.Инвестиционна програма'!H$79*SUMIF('11.1.Амортиз.нови активи'!$B$11:$B$58,$B111,'11.1.Амортиз.нови активи'!AC$11:AC$58))</f>
        <v>0</v>
      </c>
      <c r="W111" s="897">
        <f>V111+SUMIF('11.1.Амортиз.нови активи'!$B$11:$B$58,$B111,'11.1.Амортиз.нови активи'!W$11:W$58)+('9.Инвестиционна програма'!I$79*SUMIF('11.1.Амортиз.нови активи'!$B$11:$B$58,$B111,'11.1.Амортиз.нови активи'!AD$11:AD$58))</f>
        <v>0</v>
      </c>
      <c r="X111" s="897">
        <f>W111+SUMIF('11.1.Амортиз.нови активи'!$B$11:$B$58,$B111,'11.1.Амортиз.нови активи'!X$11:X$58)+('9.Инвестиционна програма'!J$79*SUMIF('11.1.Амортиз.нови активи'!$B$11:$B$58,$B111,'11.1.Амортиз.нови активи'!AE$11:AE$58))</f>
        <v>0</v>
      </c>
      <c r="Y111" s="898">
        <f>X111+SUMIF('11.1.Амортиз.нови активи'!$B$11:$B$58,$B111,'11.1.Амортиз.нови активи'!Y$11:Y$58)+('9.Инвестиционна програма'!K$79*SUMIF('11.1.Амортиз.нови активи'!$B$11:$B$58,$B111,'11.1.Амортиз.нови активи'!AF$11:AF$58))</f>
        <v>0</v>
      </c>
      <c r="Z111" s="1672"/>
      <c r="AA111" s="1703"/>
      <c r="AB111" s="1727"/>
    </row>
    <row r="112" spans="1:28" s="1643" customFormat="1">
      <c r="A112" s="1674">
        <v>2</v>
      </c>
      <c r="B112" s="1675">
        <v>20202</v>
      </c>
      <c r="C112" s="1676">
        <v>0.03</v>
      </c>
      <c r="D112" s="1728" t="s">
        <v>598</v>
      </c>
      <c r="E112" s="2246">
        <v>0</v>
      </c>
      <c r="F112" s="893">
        <f>E112+SUMIF('11.1.Амортиз.нови активи'!$B$11:$B$58,$B112,'11.1.Амортиз.нови активи'!F$11:F$58)+('9.Инвестиционна програма'!F$77*SUMIF('11.1.Амортиз.нови активи'!$B$11:$B$58,$B112,'11.1.Амортиз.нови активи'!AA$11:AA$58))</f>
        <v>0</v>
      </c>
      <c r="G112" s="894">
        <f>F112+SUMIF('11.1.Амортиз.нови активи'!$B$11:$B$58,$B112,'11.1.Амортиз.нови активи'!G$11:G$58)+('9.Инвестиционна програма'!G$77*SUMIF('11.1.Амортиз.нови активи'!$B$11:$B$58,$B112,'11.1.Амортиз.нови активи'!AB$11:AB$58))</f>
        <v>20</v>
      </c>
      <c r="H112" s="894">
        <f>G112+SUMIF('11.1.Амортиз.нови активи'!$B$11:$B$58,$B112,'11.1.Амортиз.нови активи'!H$11:H$58)+('9.Инвестиционна програма'!H$77*SUMIF('11.1.Амортиз.нови активи'!$B$11:$B$58,$B112,'11.1.Амортиз.нови активи'!AC$11:AC$58))</f>
        <v>30</v>
      </c>
      <c r="I112" s="894">
        <f>H112+SUMIF('11.1.Амортиз.нови активи'!$B$11:$B$58,$B112,'11.1.Амортиз.нови активи'!I$11:I$58)+('9.Инвестиционна програма'!I$77*SUMIF('11.1.Амортиз.нови активи'!$B$11:$B$58,$B112,'11.1.Амортиз.нови активи'!AD$11:AD$58))</f>
        <v>40</v>
      </c>
      <c r="J112" s="894">
        <f>I112+SUMIF('11.1.Амортиз.нови активи'!$B$11:$B$58,$B112,'11.1.Амортиз.нови активи'!J$11:J$58)+('9.Инвестиционна програма'!J$77*SUMIF('11.1.Амортиз.нови активи'!$B$11:$B$58,$B112,'11.1.Амортиз.нови активи'!AE$11:AE$58))</f>
        <v>50</v>
      </c>
      <c r="K112" s="895">
        <f>J112+SUMIF('11.1.Амортиз.нови активи'!$B$11:$B$58,$B112,'11.1.Амортиз.нови активи'!K$11:K$58)+('9.Инвестиционна програма'!K$77*SUMIF('11.1.Амортиз.нови активи'!$B$11:$B$58,$B112,'11.1.Амортиз.нови активи'!AF$11:AF$58))</f>
        <v>60</v>
      </c>
      <c r="L112" s="2246">
        <v>0</v>
      </c>
      <c r="M112" s="893">
        <f>L112+SUMIF('11.1.Амортиз.нови активи'!$B$11:$B$58,$B112,'11.1.Амортиз.нови активи'!M$11:M$58)+('9.Инвестиционна програма'!F$78*SUMIF('11.1.Амортиз.нови активи'!$B$11:$B$58,$B112,'11.1.Амортиз.нови активи'!AA$11:AA$58))</f>
        <v>0</v>
      </c>
      <c r="N112" s="894">
        <f>M112+SUMIF('11.1.Амортиз.нови активи'!$B$11:$B$58,$B112,'11.1.Амортиз.нови активи'!N$11:N$58)+('9.Инвестиционна програма'!G$78*SUMIF('11.1.Амортиз.нови активи'!$B$11:$B$58,$B112,'11.1.Амортиз.нови активи'!AB$11:AB$58))</f>
        <v>0</v>
      </c>
      <c r="O112" s="894">
        <f>N112+SUMIF('11.1.Амортиз.нови активи'!$B$11:$B$58,$B112,'11.1.Амортиз.нови активи'!O$11:O$58)+('9.Инвестиционна програма'!H$78*SUMIF('11.1.Амортиз.нови активи'!$B$11:$B$58,$B112,'11.1.Амортиз.нови активи'!AC$11:AC$58))</f>
        <v>0</v>
      </c>
      <c r="P112" s="894">
        <f>O112+SUMIF('11.1.Амортиз.нови активи'!$B$11:$B$58,$B112,'11.1.Амортиз.нови активи'!P$11:P$58)+('9.Инвестиционна програма'!I$78*SUMIF('11.1.Амортиз.нови активи'!$B$11:$B$58,$B112,'11.1.Амортиз.нови активи'!AD$11:AD$58))</f>
        <v>0</v>
      </c>
      <c r="Q112" s="894">
        <f>P112+SUMIF('11.1.Амортиз.нови активи'!$B$11:$B$58,$B112,'11.1.Амортиз.нови активи'!Q$11:Q$58)+('9.Инвестиционна програма'!J$78*SUMIF('11.1.Амортиз.нови активи'!$B$11:$B$58,$B112,'11.1.Амортиз.нови активи'!AE$11:AE$58))</f>
        <v>0</v>
      </c>
      <c r="R112" s="895">
        <f>Q112+SUMIF('11.1.Амортиз.нови активи'!$B$11:$B$58,$B112,'11.1.Амортиз.нови активи'!R$11:R$58)+('9.Инвестиционна програма'!K$78*SUMIF('11.1.Амортиз.нови активи'!$B$11:$B$58,$B112,'11.1.Амортиз.нови активи'!AF$11:AF$58))</f>
        <v>0</v>
      </c>
      <c r="S112" s="2246">
        <v>0</v>
      </c>
      <c r="T112" s="893">
        <f>S112+SUMIF('11.1.Амортиз.нови активи'!$B$11:$B$58,$B112,'11.1.Амортиз.нови активи'!T$11:T$58)+('9.Инвестиционна програма'!F$79*SUMIF('11.1.Амортиз.нови активи'!$B$11:$B$58,$B112,'11.1.Амортиз.нови активи'!AA$11:AA$58))</f>
        <v>0</v>
      </c>
      <c r="U112" s="894">
        <f>T112+SUMIF('11.1.Амортиз.нови активи'!$B$11:$B$58,$B112,'11.1.Амортиз.нови активи'!U$11:U$58)+('9.Инвестиционна програма'!G$79*SUMIF('11.1.Амортиз.нови активи'!$B$11:$B$58,$B112,'11.1.Амортиз.нови активи'!AB$11:AB$58))</f>
        <v>0</v>
      </c>
      <c r="V112" s="894">
        <f>U112+SUMIF('11.1.Амортиз.нови активи'!$B$11:$B$58,$B112,'11.1.Амортиз.нови активи'!V$11:V$58)+('9.Инвестиционна програма'!H$79*SUMIF('11.1.Амортиз.нови активи'!$B$11:$B$58,$B112,'11.1.Амортиз.нови активи'!AC$11:AC$58))</f>
        <v>0</v>
      </c>
      <c r="W112" s="894">
        <f>V112+SUMIF('11.1.Амортиз.нови активи'!$B$11:$B$58,$B112,'11.1.Амортиз.нови активи'!W$11:W$58)+('9.Инвестиционна програма'!I$79*SUMIF('11.1.Амортиз.нови активи'!$B$11:$B$58,$B112,'11.1.Амортиз.нови активи'!AD$11:AD$58))</f>
        <v>0</v>
      </c>
      <c r="X112" s="894">
        <f>W112+SUMIF('11.1.Амортиз.нови активи'!$B$11:$B$58,$B112,'11.1.Амортиз.нови активи'!X$11:X$58)+('9.Инвестиционна програма'!J$79*SUMIF('11.1.Амортиз.нови активи'!$B$11:$B$58,$B112,'11.1.Амортиз.нови активи'!AE$11:AE$58))</f>
        <v>0</v>
      </c>
      <c r="Y112" s="895">
        <f>X112+SUMIF('11.1.Амортиз.нови активи'!$B$11:$B$58,$B112,'11.1.Амортиз.нови активи'!Y$11:Y$58)+('9.Инвестиционна програма'!K$79*SUMIF('11.1.Амортиз.нови активи'!$B$11:$B$58,$B112,'11.1.Амортиз.нови активи'!AF$11:AF$58))</f>
        <v>0</v>
      </c>
      <c r="Z112" s="1672"/>
      <c r="AA112" s="1703"/>
      <c r="AB112" s="1727"/>
    </row>
    <row r="113" spans="1:28" s="1643" customFormat="1">
      <c r="A113" s="1674">
        <v>3</v>
      </c>
      <c r="B113" s="1675">
        <v>2030401</v>
      </c>
      <c r="C113" s="1680">
        <v>0.1</v>
      </c>
      <c r="D113" s="1626" t="s">
        <v>1470</v>
      </c>
      <c r="E113" s="2246">
        <v>0</v>
      </c>
      <c r="F113" s="893">
        <f>E113+SUMIF('11.1.Амортиз.нови активи'!$B$11:$B$58,$B113,'11.1.Амортиз.нови активи'!F$11:F$58)+('9.Инвестиционна програма'!F$77*SUMIF('11.1.Амортиз.нови активи'!$B$11:$B$58,$B113,'11.1.Амортиз.нови активи'!AA$11:AA$58))</f>
        <v>0</v>
      </c>
      <c r="G113" s="894">
        <f>F113+SUMIF('11.1.Амортиз.нови активи'!$B$11:$B$58,$B113,'11.1.Амортиз.нови активи'!G$11:G$58)+('9.Инвестиционна програма'!G$77*SUMIF('11.1.Амортиз.нови активи'!$B$11:$B$58,$B113,'11.1.Амортиз.нови активи'!AB$11:AB$58))</f>
        <v>0</v>
      </c>
      <c r="H113" s="894">
        <f>G113+SUMIF('11.1.Амортиз.нови активи'!$B$11:$B$58,$B113,'11.1.Амортиз.нови активи'!H$11:H$58)+('9.Инвестиционна програма'!H$77*SUMIF('11.1.Амортиз.нови активи'!$B$11:$B$58,$B113,'11.1.Амортиз.нови активи'!AC$11:AC$58))</f>
        <v>0</v>
      </c>
      <c r="I113" s="894">
        <f>H113+SUMIF('11.1.Амортиз.нови активи'!$B$11:$B$58,$B113,'11.1.Амортиз.нови активи'!I$11:I$58)+('9.Инвестиционна програма'!I$77*SUMIF('11.1.Амортиз.нови активи'!$B$11:$B$58,$B113,'11.1.Амортиз.нови активи'!AD$11:AD$58))</f>
        <v>0</v>
      </c>
      <c r="J113" s="894">
        <f>I113+SUMIF('11.1.Амортиз.нови активи'!$B$11:$B$58,$B113,'11.1.Амортиз.нови активи'!J$11:J$58)+('9.Инвестиционна програма'!J$77*SUMIF('11.1.Амортиз.нови активи'!$B$11:$B$58,$B113,'11.1.Амортиз.нови активи'!AE$11:AE$58))</f>
        <v>0</v>
      </c>
      <c r="K113" s="895">
        <f>J113+SUMIF('11.1.Амортиз.нови активи'!$B$11:$B$58,$B113,'11.1.Амортиз.нови активи'!K$11:K$58)+('9.Инвестиционна програма'!K$77*SUMIF('11.1.Амортиз.нови активи'!$B$11:$B$58,$B113,'11.1.Амортиз.нови активи'!AF$11:AF$58))</f>
        <v>0</v>
      </c>
      <c r="L113" s="2246">
        <v>0</v>
      </c>
      <c r="M113" s="893">
        <f>L113+SUMIF('11.1.Амортиз.нови активи'!$B$11:$B$58,$B113,'11.1.Амортиз.нови активи'!M$11:M$58)+('9.Инвестиционна програма'!F$78*SUMIF('11.1.Амортиз.нови активи'!$B$11:$B$58,$B113,'11.1.Амортиз.нови активи'!AA$11:AA$58))</f>
        <v>0</v>
      </c>
      <c r="N113" s="894">
        <f>M113+SUMIF('11.1.Амортиз.нови активи'!$B$11:$B$58,$B113,'11.1.Амортиз.нови активи'!N$11:N$58)+('9.Инвестиционна програма'!G$78*SUMIF('11.1.Амортиз.нови активи'!$B$11:$B$58,$B113,'11.1.Амортиз.нови активи'!AB$11:AB$58))</f>
        <v>0</v>
      </c>
      <c r="O113" s="894">
        <f>N113+SUMIF('11.1.Амортиз.нови активи'!$B$11:$B$58,$B113,'11.1.Амортиз.нови активи'!O$11:O$58)+('9.Инвестиционна програма'!H$78*SUMIF('11.1.Амортиз.нови активи'!$B$11:$B$58,$B113,'11.1.Амортиз.нови активи'!AC$11:AC$58))</f>
        <v>0</v>
      </c>
      <c r="P113" s="894">
        <f>O113+SUMIF('11.1.Амортиз.нови активи'!$B$11:$B$58,$B113,'11.1.Амортиз.нови активи'!P$11:P$58)+('9.Инвестиционна програма'!I$78*SUMIF('11.1.Амортиз.нови активи'!$B$11:$B$58,$B113,'11.1.Амортиз.нови активи'!AD$11:AD$58))</f>
        <v>0</v>
      </c>
      <c r="Q113" s="894">
        <f>P113+SUMIF('11.1.Амортиз.нови активи'!$B$11:$B$58,$B113,'11.1.Амортиз.нови активи'!Q$11:Q$58)+('9.Инвестиционна програма'!J$78*SUMIF('11.1.Амортиз.нови активи'!$B$11:$B$58,$B113,'11.1.Амортиз.нови активи'!AE$11:AE$58))</f>
        <v>0</v>
      </c>
      <c r="R113" s="895">
        <f>Q113+SUMIF('11.1.Амортиз.нови активи'!$B$11:$B$58,$B113,'11.1.Амортиз.нови активи'!R$11:R$58)+('9.Инвестиционна програма'!K$78*SUMIF('11.1.Амортиз.нови активи'!$B$11:$B$58,$B113,'11.1.Амортиз.нови активи'!AF$11:AF$58))</f>
        <v>0</v>
      </c>
      <c r="S113" s="2246">
        <v>0</v>
      </c>
      <c r="T113" s="893">
        <f>S113+SUMIF('11.1.Амортиз.нови активи'!$B$11:$B$58,$B113,'11.1.Амортиз.нови активи'!T$11:T$58)+('9.Инвестиционна програма'!F$79*SUMIF('11.1.Амортиз.нови активи'!$B$11:$B$58,$B113,'11.1.Амортиз.нови активи'!AA$11:AA$58))</f>
        <v>0</v>
      </c>
      <c r="U113" s="894">
        <f>T113+SUMIF('11.1.Амортиз.нови активи'!$B$11:$B$58,$B113,'11.1.Амортиз.нови активи'!U$11:U$58)+('9.Инвестиционна програма'!G$79*SUMIF('11.1.Амортиз.нови активи'!$B$11:$B$58,$B113,'11.1.Амортиз.нови активи'!AB$11:AB$58))</f>
        <v>0</v>
      </c>
      <c r="V113" s="894">
        <f>U113+SUMIF('11.1.Амортиз.нови активи'!$B$11:$B$58,$B113,'11.1.Амортиз.нови активи'!V$11:V$58)+('9.Инвестиционна програма'!H$79*SUMIF('11.1.Амортиз.нови активи'!$B$11:$B$58,$B113,'11.1.Амортиз.нови активи'!AC$11:AC$58))</f>
        <v>0</v>
      </c>
      <c r="W113" s="894">
        <f>V113+SUMIF('11.1.Амортиз.нови активи'!$B$11:$B$58,$B113,'11.1.Амортиз.нови активи'!W$11:W$58)+('9.Инвестиционна програма'!I$79*SUMIF('11.1.Амортиз.нови активи'!$B$11:$B$58,$B113,'11.1.Амортиз.нови активи'!AD$11:AD$58))</f>
        <v>0</v>
      </c>
      <c r="X113" s="894">
        <f>W113+SUMIF('11.1.Амортиз.нови активи'!$B$11:$B$58,$B113,'11.1.Амортиз.нови активи'!X$11:X$58)+('9.Инвестиционна програма'!J$79*SUMIF('11.1.Амортиз.нови активи'!$B$11:$B$58,$B113,'11.1.Амортиз.нови активи'!AE$11:AE$58))</f>
        <v>0</v>
      </c>
      <c r="Y113" s="895">
        <f>X113+SUMIF('11.1.Амортиз.нови активи'!$B$11:$B$58,$B113,'11.1.Амортиз.нови активи'!Y$11:Y$58)+('9.Инвестиционна програма'!K$79*SUMIF('11.1.Амортиз.нови активи'!$B$11:$B$58,$B113,'11.1.Амортиз.нови активи'!AF$11:AF$58))</f>
        <v>0</v>
      </c>
      <c r="Z113" s="1672"/>
      <c r="AA113" s="1703"/>
      <c r="AB113" s="1727"/>
    </row>
    <row r="114" spans="1:28" s="1643" customFormat="1">
      <c r="A114" s="1674">
        <v>4</v>
      </c>
      <c r="B114" s="1675">
        <v>2030402</v>
      </c>
      <c r="C114" s="1680">
        <v>0.1</v>
      </c>
      <c r="D114" s="1626" t="s">
        <v>601</v>
      </c>
      <c r="E114" s="2246">
        <v>0</v>
      </c>
      <c r="F114" s="893">
        <f>E114+SUMIF('11.1.Амортиз.нови активи'!$B$11:$B$58,$B114,'11.1.Амортиз.нови активи'!F$11:F$58)+('9.Инвестиционна програма'!F$77*SUMIF('11.1.Амортиз.нови активи'!$B$11:$B$58,$B114,'11.1.Амортиз.нови активи'!AA$11:AA$58))</f>
        <v>0</v>
      </c>
      <c r="G114" s="894">
        <f>F114+SUMIF('11.1.Амортиз.нови активи'!$B$11:$B$58,$B114,'11.1.Амортиз.нови активи'!G$11:G$58)+('9.Инвестиционна програма'!G$77*SUMIF('11.1.Амортиз.нови активи'!$B$11:$B$58,$B114,'11.1.Амортиз.нови активи'!AB$11:AB$58))</f>
        <v>0</v>
      </c>
      <c r="H114" s="894">
        <f>G114+SUMIF('11.1.Амортиз.нови активи'!$B$11:$B$58,$B114,'11.1.Амортиз.нови активи'!H$11:H$58)+('9.Инвестиционна програма'!H$77*SUMIF('11.1.Амортиз.нови активи'!$B$11:$B$58,$B114,'11.1.Амортиз.нови активи'!AC$11:AC$58))</f>
        <v>0</v>
      </c>
      <c r="I114" s="894">
        <f>H114+SUMIF('11.1.Амортиз.нови активи'!$B$11:$B$58,$B114,'11.1.Амортиз.нови активи'!I$11:I$58)+('9.Инвестиционна програма'!I$77*SUMIF('11.1.Амортиз.нови активи'!$B$11:$B$58,$B114,'11.1.Амортиз.нови активи'!AD$11:AD$58))</f>
        <v>0</v>
      </c>
      <c r="J114" s="894">
        <f>I114+SUMIF('11.1.Амортиз.нови активи'!$B$11:$B$58,$B114,'11.1.Амортиз.нови активи'!J$11:J$58)+('9.Инвестиционна програма'!J$77*SUMIF('11.1.Амортиз.нови активи'!$B$11:$B$58,$B114,'11.1.Амортиз.нови активи'!AE$11:AE$58))</f>
        <v>0</v>
      </c>
      <c r="K114" s="895">
        <f>J114+SUMIF('11.1.Амортиз.нови активи'!$B$11:$B$58,$B114,'11.1.Амортиз.нови активи'!K$11:K$58)+('9.Инвестиционна програма'!K$77*SUMIF('11.1.Амортиз.нови активи'!$B$11:$B$58,$B114,'11.1.Амортиз.нови активи'!AF$11:AF$58))</f>
        <v>0</v>
      </c>
      <c r="L114" s="2246">
        <v>0</v>
      </c>
      <c r="M114" s="893">
        <f>L114+SUMIF('11.1.Амортиз.нови активи'!$B$11:$B$58,$B114,'11.1.Амортиз.нови активи'!M$11:M$58)+('9.Инвестиционна програма'!F$78*SUMIF('11.1.Амортиз.нови активи'!$B$11:$B$58,$B114,'11.1.Амортиз.нови активи'!AA$11:AA$58))</f>
        <v>0</v>
      </c>
      <c r="N114" s="894">
        <f>M114+SUMIF('11.1.Амортиз.нови активи'!$B$11:$B$58,$B114,'11.1.Амортиз.нови активи'!N$11:N$58)+('9.Инвестиционна програма'!G$78*SUMIF('11.1.Амортиз.нови активи'!$B$11:$B$58,$B114,'11.1.Амортиз.нови активи'!AB$11:AB$58))</f>
        <v>0</v>
      </c>
      <c r="O114" s="894">
        <f>N114+SUMIF('11.1.Амортиз.нови активи'!$B$11:$B$58,$B114,'11.1.Амортиз.нови активи'!O$11:O$58)+('9.Инвестиционна програма'!H$78*SUMIF('11.1.Амортиз.нови активи'!$B$11:$B$58,$B114,'11.1.Амортиз.нови активи'!AC$11:AC$58))</f>
        <v>0</v>
      </c>
      <c r="P114" s="894">
        <f>O114+SUMIF('11.1.Амортиз.нови активи'!$B$11:$B$58,$B114,'11.1.Амортиз.нови активи'!P$11:P$58)+('9.Инвестиционна програма'!I$78*SUMIF('11.1.Амортиз.нови активи'!$B$11:$B$58,$B114,'11.1.Амортиз.нови активи'!AD$11:AD$58))</f>
        <v>0</v>
      </c>
      <c r="Q114" s="894">
        <f>P114+SUMIF('11.1.Амортиз.нови активи'!$B$11:$B$58,$B114,'11.1.Амортиз.нови активи'!Q$11:Q$58)+('9.Инвестиционна програма'!J$78*SUMIF('11.1.Амортиз.нови активи'!$B$11:$B$58,$B114,'11.1.Амортиз.нови активи'!AE$11:AE$58))</f>
        <v>0</v>
      </c>
      <c r="R114" s="895">
        <f>Q114+SUMIF('11.1.Амортиз.нови активи'!$B$11:$B$58,$B114,'11.1.Амортиз.нови активи'!R$11:R$58)+('9.Инвестиционна програма'!K$78*SUMIF('11.1.Амортиз.нови активи'!$B$11:$B$58,$B114,'11.1.Амортиз.нови активи'!AF$11:AF$58))</f>
        <v>0</v>
      </c>
      <c r="S114" s="2246">
        <v>0</v>
      </c>
      <c r="T114" s="893">
        <f>S114+SUMIF('11.1.Амортиз.нови активи'!$B$11:$B$58,$B114,'11.1.Амортиз.нови активи'!T$11:T$58)+('9.Инвестиционна програма'!F$79*SUMIF('11.1.Амортиз.нови активи'!$B$11:$B$58,$B114,'11.1.Амортиз.нови активи'!AA$11:AA$58))</f>
        <v>0</v>
      </c>
      <c r="U114" s="894">
        <f>T114+SUMIF('11.1.Амортиз.нови активи'!$B$11:$B$58,$B114,'11.1.Амортиз.нови активи'!U$11:U$58)+('9.Инвестиционна програма'!G$79*SUMIF('11.1.Амортиз.нови активи'!$B$11:$B$58,$B114,'11.1.Амортиз.нови активи'!AB$11:AB$58))</f>
        <v>0</v>
      </c>
      <c r="V114" s="894">
        <f>U114+SUMIF('11.1.Амортиз.нови активи'!$B$11:$B$58,$B114,'11.1.Амортиз.нови активи'!V$11:V$58)+('9.Инвестиционна програма'!H$79*SUMIF('11.1.Амортиз.нови активи'!$B$11:$B$58,$B114,'11.1.Амортиз.нови активи'!AC$11:AC$58))</f>
        <v>0</v>
      </c>
      <c r="W114" s="894">
        <f>V114+SUMIF('11.1.Амортиз.нови активи'!$B$11:$B$58,$B114,'11.1.Амортиз.нови активи'!W$11:W$58)+('9.Инвестиционна програма'!I$79*SUMIF('11.1.Амортиз.нови активи'!$B$11:$B$58,$B114,'11.1.Амортиз.нови активи'!AD$11:AD$58))</f>
        <v>0</v>
      </c>
      <c r="X114" s="894">
        <f>W114+SUMIF('11.1.Амортиз.нови активи'!$B$11:$B$58,$B114,'11.1.Амортиз.нови активи'!X$11:X$58)+('9.Инвестиционна програма'!J$79*SUMIF('11.1.Амортиз.нови активи'!$B$11:$B$58,$B114,'11.1.Амортиз.нови активи'!AE$11:AE$58))</f>
        <v>0</v>
      </c>
      <c r="Y114" s="895">
        <f>X114+SUMIF('11.1.Амортиз.нови активи'!$B$11:$B$58,$B114,'11.1.Амортиз.нови активи'!Y$11:Y$58)+('9.Инвестиционна програма'!K$79*SUMIF('11.1.Амортиз.нови активи'!$B$11:$B$58,$B114,'11.1.Амортиз.нови активи'!AF$11:AF$58))</f>
        <v>0</v>
      </c>
      <c r="Z114" s="1672"/>
      <c r="AA114" s="1703"/>
      <c r="AB114" s="1727"/>
    </row>
    <row r="115" spans="1:28" s="1643" customFormat="1">
      <c r="A115" s="1674">
        <v>5</v>
      </c>
      <c r="B115" s="1675">
        <v>2030501</v>
      </c>
      <c r="C115" s="1680">
        <v>0.1</v>
      </c>
      <c r="D115" s="1626" t="s">
        <v>1391</v>
      </c>
      <c r="E115" s="2246">
        <v>0</v>
      </c>
      <c r="F115" s="893">
        <f>E115+SUMIF('11.1.Амортиз.нови активи'!$B$11:$B$58,$B115,'11.1.Амортиз.нови активи'!F$11:F$58)+('9.Инвестиционна програма'!F$77*SUMIF('11.1.Амортиз.нови активи'!$B$11:$B$58,$B115,'11.1.Амортиз.нови активи'!AA$11:AA$58))</f>
        <v>240</v>
      </c>
      <c r="G115" s="894">
        <f>F115+SUMIF('11.1.Амортиз.нови активи'!$B$11:$B$58,$B115,'11.1.Амортиз.нови активи'!G$11:G$58)+('9.Инвестиционна програма'!G$77*SUMIF('11.1.Амортиз.нови активи'!$B$11:$B$58,$B115,'11.1.Амортиз.нови активи'!AB$11:AB$58))</f>
        <v>280</v>
      </c>
      <c r="H115" s="894">
        <f>G115+SUMIF('11.1.Амортиз.нови активи'!$B$11:$B$58,$B115,'11.1.Амортиз.нови активи'!H$11:H$58)+('9.Инвестиционна програма'!H$77*SUMIF('11.1.Амортиз.нови активи'!$B$11:$B$58,$B115,'11.1.Амортиз.нови активи'!AC$11:AC$58))</f>
        <v>340</v>
      </c>
      <c r="I115" s="894">
        <f>H115+SUMIF('11.1.Амортиз.нови активи'!$B$11:$B$58,$B115,'11.1.Амортиз.нови активи'!I$11:I$58)+('9.Инвестиционна програма'!I$77*SUMIF('11.1.Амортиз.нови активи'!$B$11:$B$58,$B115,'11.1.Амортиз.нови активи'!AD$11:AD$58))</f>
        <v>380</v>
      </c>
      <c r="J115" s="894">
        <f>I115+SUMIF('11.1.Амортиз.нови активи'!$B$11:$B$58,$B115,'11.1.Амортиз.нови активи'!J$11:J$58)+('9.Инвестиционна програма'!J$77*SUMIF('11.1.Амортиз.нови активи'!$B$11:$B$58,$B115,'11.1.Амортиз.нови активи'!AE$11:AE$58))</f>
        <v>420</v>
      </c>
      <c r="K115" s="895">
        <f>J115+SUMIF('11.1.Амортиз.нови активи'!$B$11:$B$58,$B115,'11.1.Амортиз.нови активи'!K$11:K$58)+('9.Инвестиционна програма'!K$77*SUMIF('11.1.Амортиз.нови активи'!$B$11:$B$58,$B115,'11.1.Амортиз.нови активи'!AF$11:AF$58))</f>
        <v>440</v>
      </c>
      <c r="L115" s="2246">
        <v>0</v>
      </c>
      <c r="M115" s="893">
        <f>L115+SUMIF('11.1.Амортиз.нови активи'!$B$11:$B$58,$B115,'11.1.Амортиз.нови активи'!M$11:M$58)+('9.Инвестиционна програма'!F$78*SUMIF('11.1.Амортиз.нови активи'!$B$11:$B$58,$B115,'11.1.Амортиз.нови активи'!AA$11:AA$58))</f>
        <v>0</v>
      </c>
      <c r="N115" s="894">
        <f>M115+SUMIF('11.1.Амортиз.нови активи'!$B$11:$B$58,$B115,'11.1.Амортиз.нови активи'!N$11:N$58)+('9.Инвестиционна програма'!G$78*SUMIF('11.1.Амортиз.нови активи'!$B$11:$B$58,$B115,'11.1.Амортиз.нови активи'!AB$11:AB$58))</f>
        <v>0</v>
      </c>
      <c r="O115" s="894">
        <f>N115+SUMIF('11.1.Амортиз.нови активи'!$B$11:$B$58,$B115,'11.1.Амортиз.нови активи'!O$11:O$58)+('9.Инвестиционна програма'!H$78*SUMIF('11.1.Амортиз.нови активи'!$B$11:$B$58,$B115,'11.1.Амортиз.нови активи'!AC$11:AC$58))</f>
        <v>0</v>
      </c>
      <c r="P115" s="894">
        <f>O115+SUMIF('11.1.Амортиз.нови активи'!$B$11:$B$58,$B115,'11.1.Амортиз.нови активи'!P$11:P$58)+('9.Инвестиционна програма'!I$78*SUMIF('11.1.Амортиз.нови активи'!$B$11:$B$58,$B115,'11.1.Амортиз.нови активи'!AD$11:AD$58))</f>
        <v>0</v>
      </c>
      <c r="Q115" s="894">
        <f>P115+SUMIF('11.1.Амортиз.нови активи'!$B$11:$B$58,$B115,'11.1.Амортиз.нови активи'!Q$11:Q$58)+('9.Инвестиционна програма'!J$78*SUMIF('11.1.Амортиз.нови активи'!$B$11:$B$58,$B115,'11.1.Амортиз.нови активи'!AE$11:AE$58))</f>
        <v>0</v>
      </c>
      <c r="R115" s="895">
        <f>Q115+SUMIF('11.1.Амортиз.нови активи'!$B$11:$B$58,$B115,'11.1.Амортиз.нови активи'!R$11:R$58)+('9.Инвестиционна програма'!K$78*SUMIF('11.1.Амортиз.нови активи'!$B$11:$B$58,$B115,'11.1.Амортиз.нови активи'!AF$11:AF$58))</f>
        <v>0</v>
      </c>
      <c r="S115" s="2246">
        <v>0</v>
      </c>
      <c r="T115" s="893">
        <f>S115+SUMIF('11.1.Амортиз.нови активи'!$B$11:$B$58,$B115,'11.1.Амортиз.нови активи'!T$11:T$58)+('9.Инвестиционна програма'!F$79*SUMIF('11.1.Амортиз.нови активи'!$B$11:$B$58,$B115,'11.1.Амортиз.нови активи'!AA$11:AA$58))</f>
        <v>0</v>
      </c>
      <c r="U115" s="894">
        <f>T115+SUMIF('11.1.Амортиз.нови активи'!$B$11:$B$58,$B115,'11.1.Амортиз.нови активи'!U$11:U$58)+('9.Инвестиционна програма'!G$79*SUMIF('11.1.Амортиз.нови активи'!$B$11:$B$58,$B115,'11.1.Амортиз.нови активи'!AB$11:AB$58))</f>
        <v>0</v>
      </c>
      <c r="V115" s="894">
        <f>U115+SUMIF('11.1.Амортиз.нови активи'!$B$11:$B$58,$B115,'11.1.Амортиз.нови активи'!V$11:V$58)+('9.Инвестиционна програма'!H$79*SUMIF('11.1.Амортиз.нови активи'!$B$11:$B$58,$B115,'11.1.Амортиз.нови активи'!AC$11:AC$58))</f>
        <v>0</v>
      </c>
      <c r="W115" s="894">
        <f>V115+SUMIF('11.1.Амортиз.нови активи'!$B$11:$B$58,$B115,'11.1.Амортиз.нови активи'!W$11:W$58)+('9.Инвестиционна програма'!I$79*SUMIF('11.1.Амортиз.нови активи'!$B$11:$B$58,$B115,'11.1.Амортиз.нови активи'!AD$11:AD$58))</f>
        <v>0</v>
      </c>
      <c r="X115" s="894">
        <f>W115+SUMIF('11.1.Амортиз.нови активи'!$B$11:$B$58,$B115,'11.1.Амортиз.нови активи'!X$11:X$58)+('9.Инвестиционна програма'!J$79*SUMIF('11.1.Амортиз.нови активи'!$B$11:$B$58,$B115,'11.1.Амортиз.нови активи'!AE$11:AE$58))</f>
        <v>0</v>
      </c>
      <c r="Y115" s="895">
        <f>X115+SUMIF('11.1.Амортиз.нови активи'!$B$11:$B$58,$B115,'11.1.Амортиз.нови активи'!Y$11:Y$58)+('9.Инвестиционна програма'!K$79*SUMIF('11.1.Амортиз.нови активи'!$B$11:$B$58,$B115,'11.1.Амортиз.нови активи'!AF$11:AF$58))</f>
        <v>0</v>
      </c>
      <c r="Z115" s="1681"/>
      <c r="AA115" s="1703"/>
      <c r="AB115" s="1727"/>
    </row>
    <row r="116" spans="1:28" s="1643" customFormat="1" ht="24">
      <c r="A116" s="1674">
        <v>6</v>
      </c>
      <c r="B116" s="1675">
        <v>2030502</v>
      </c>
      <c r="C116" s="1680">
        <v>0.1</v>
      </c>
      <c r="D116" s="1626" t="s">
        <v>948</v>
      </c>
      <c r="E116" s="2246">
        <v>0</v>
      </c>
      <c r="F116" s="893">
        <f>E116+SUMIF('11.1.Амортиз.нови активи'!$B$11:$B$58,$B116,'11.1.Амортиз.нови активи'!F$11:F$58)+('9.Инвестиционна програма'!F$77*SUMIF('11.1.Амортиз.нови активи'!$B$11:$B$58,$B116,'11.1.Амортиз.нови активи'!AA$11:AA$58))</f>
        <v>280</v>
      </c>
      <c r="G116" s="894">
        <f>F116+SUMIF('11.1.Амортиз.нови активи'!$B$11:$B$58,$B116,'11.1.Амортиз.нови активи'!G$11:G$58)+('9.Инвестиционна програма'!G$77*SUMIF('11.1.Амортиз.нови активи'!$B$11:$B$58,$B116,'11.1.Амортиз.нови активи'!AB$11:AB$58))</f>
        <v>340</v>
      </c>
      <c r="H116" s="894">
        <f>G116+SUMIF('11.1.Амортиз.нови активи'!$B$11:$B$58,$B116,'11.1.Амортиз.нови активи'!H$11:H$58)+('9.Инвестиционна програма'!H$77*SUMIF('11.1.Амортиз.нови активи'!$B$11:$B$58,$B116,'11.1.Амортиз.нови активи'!AC$11:AC$58))</f>
        <v>380</v>
      </c>
      <c r="I116" s="894">
        <f>H116+SUMIF('11.1.Амортиз.нови активи'!$B$11:$B$58,$B116,'11.1.Амортиз.нови активи'!I$11:I$58)+('9.Инвестиционна програма'!I$77*SUMIF('11.1.Амортиз.нови активи'!$B$11:$B$58,$B116,'11.1.Амортиз.нови активи'!AD$11:AD$58))</f>
        <v>440</v>
      </c>
      <c r="J116" s="894">
        <f>I116+SUMIF('11.1.Амортиз.нови активи'!$B$11:$B$58,$B116,'11.1.Амортиз.нови активи'!J$11:J$58)+('9.Инвестиционна програма'!J$77*SUMIF('11.1.Амортиз.нови активи'!$B$11:$B$58,$B116,'11.1.Амортиз.нови активи'!AE$11:AE$58))</f>
        <v>460</v>
      </c>
      <c r="K116" s="895">
        <f>J116+SUMIF('11.1.Амортиз.нови активи'!$B$11:$B$58,$B116,'11.1.Амортиз.нови активи'!K$11:K$58)+('9.Инвестиционна програма'!K$77*SUMIF('11.1.Амортиз.нови активи'!$B$11:$B$58,$B116,'11.1.Амортиз.нови активи'!AF$11:AF$58))</f>
        <v>500</v>
      </c>
      <c r="L116" s="2246">
        <v>0</v>
      </c>
      <c r="M116" s="893">
        <f>L116+SUMIF('11.1.Амортиз.нови активи'!$B$11:$B$58,$B116,'11.1.Амортиз.нови активи'!M$11:M$58)+('9.Инвестиционна програма'!F$78*SUMIF('11.1.Амортиз.нови активи'!$B$11:$B$58,$B116,'11.1.Амортиз.нови активи'!AA$11:AA$58))</f>
        <v>0</v>
      </c>
      <c r="N116" s="894">
        <f>M116+SUMIF('11.1.Амортиз.нови активи'!$B$11:$B$58,$B116,'11.1.Амортиз.нови активи'!N$11:N$58)+('9.Инвестиционна програма'!G$78*SUMIF('11.1.Амортиз.нови активи'!$B$11:$B$58,$B116,'11.1.Амортиз.нови активи'!AB$11:AB$58))</f>
        <v>0</v>
      </c>
      <c r="O116" s="894">
        <f>N116+SUMIF('11.1.Амортиз.нови активи'!$B$11:$B$58,$B116,'11.1.Амортиз.нови активи'!O$11:O$58)+('9.Инвестиционна програма'!H$78*SUMIF('11.1.Амортиз.нови активи'!$B$11:$B$58,$B116,'11.1.Амортиз.нови активи'!AC$11:AC$58))</f>
        <v>0</v>
      </c>
      <c r="P116" s="894">
        <f>O116+SUMIF('11.1.Амортиз.нови активи'!$B$11:$B$58,$B116,'11.1.Амортиз.нови активи'!P$11:P$58)+('9.Инвестиционна програма'!I$78*SUMIF('11.1.Амортиз.нови активи'!$B$11:$B$58,$B116,'11.1.Амортиз.нови активи'!AD$11:AD$58))</f>
        <v>0</v>
      </c>
      <c r="Q116" s="894">
        <f>P116+SUMIF('11.1.Амортиз.нови активи'!$B$11:$B$58,$B116,'11.1.Амортиз.нови активи'!Q$11:Q$58)+('9.Инвестиционна програма'!J$78*SUMIF('11.1.Амортиз.нови активи'!$B$11:$B$58,$B116,'11.1.Амортиз.нови активи'!AE$11:AE$58))</f>
        <v>0</v>
      </c>
      <c r="R116" s="895">
        <f>Q116+SUMIF('11.1.Амортиз.нови активи'!$B$11:$B$58,$B116,'11.1.Амортиз.нови активи'!R$11:R$58)+('9.Инвестиционна програма'!K$78*SUMIF('11.1.Амортиз.нови активи'!$B$11:$B$58,$B116,'11.1.Амортиз.нови активи'!AF$11:AF$58))</f>
        <v>0</v>
      </c>
      <c r="S116" s="2246">
        <v>0</v>
      </c>
      <c r="T116" s="893">
        <f>S116+SUMIF('11.1.Амортиз.нови активи'!$B$11:$B$58,$B116,'11.1.Амортиз.нови активи'!T$11:T$58)+('9.Инвестиционна програма'!F$79*SUMIF('11.1.Амортиз.нови активи'!$B$11:$B$58,$B116,'11.1.Амортиз.нови активи'!AA$11:AA$58))</f>
        <v>0</v>
      </c>
      <c r="U116" s="894">
        <f>T116+SUMIF('11.1.Амортиз.нови активи'!$B$11:$B$58,$B116,'11.1.Амортиз.нови активи'!U$11:U$58)+('9.Инвестиционна програма'!G$79*SUMIF('11.1.Амортиз.нови активи'!$B$11:$B$58,$B116,'11.1.Амортиз.нови активи'!AB$11:AB$58))</f>
        <v>0</v>
      </c>
      <c r="V116" s="894">
        <f>U116+SUMIF('11.1.Амортиз.нови активи'!$B$11:$B$58,$B116,'11.1.Амортиз.нови активи'!V$11:V$58)+('9.Инвестиционна програма'!H$79*SUMIF('11.1.Амортиз.нови активи'!$B$11:$B$58,$B116,'11.1.Амортиз.нови активи'!AC$11:AC$58))</f>
        <v>0</v>
      </c>
      <c r="W116" s="894">
        <f>V116+SUMIF('11.1.Амортиз.нови активи'!$B$11:$B$58,$B116,'11.1.Амортиз.нови активи'!W$11:W$58)+('9.Инвестиционна програма'!I$79*SUMIF('11.1.Амортиз.нови активи'!$B$11:$B$58,$B116,'11.1.Амортиз.нови активи'!AD$11:AD$58))</f>
        <v>0</v>
      </c>
      <c r="X116" s="894">
        <f>W116+SUMIF('11.1.Амортиз.нови активи'!$B$11:$B$58,$B116,'11.1.Амортиз.нови активи'!X$11:X$58)+('9.Инвестиционна програма'!J$79*SUMIF('11.1.Амортиз.нови активи'!$B$11:$B$58,$B116,'11.1.Амортиз.нови активи'!AE$11:AE$58))</f>
        <v>0</v>
      </c>
      <c r="Y116" s="895">
        <f>X116+SUMIF('11.1.Амортиз.нови активи'!$B$11:$B$58,$B116,'11.1.Амортиз.нови активи'!Y$11:Y$58)+('9.Инвестиционна програма'!K$79*SUMIF('11.1.Амортиз.нови активи'!$B$11:$B$58,$B116,'11.1.Амортиз.нови активи'!AF$11:AF$58))</f>
        <v>0</v>
      </c>
      <c r="Z116" s="1672"/>
      <c r="AA116" s="1703"/>
      <c r="AB116" s="1727"/>
    </row>
    <row r="117" spans="1:28" s="1643" customFormat="1">
      <c r="A117" s="1674">
        <v>7</v>
      </c>
      <c r="B117" s="1675">
        <v>2030503</v>
      </c>
      <c r="C117" s="1680">
        <v>0.1</v>
      </c>
      <c r="D117" s="1626" t="s">
        <v>966</v>
      </c>
      <c r="E117" s="2246">
        <v>0</v>
      </c>
      <c r="F117" s="893">
        <f>E117+SUMIF('11.1.Амортиз.нови активи'!$B$11:$B$58,$B117,'11.1.Амортиз.нови активи'!F$11:F$58)+('9.Инвестиционна програма'!F$77*SUMIF('11.1.Амортиз.нови активи'!$B$11:$B$58,$B117,'11.1.Амортиз.нови активи'!AA$11:AA$58))</f>
        <v>182</v>
      </c>
      <c r="G117" s="894">
        <f>F117+SUMIF('11.1.Амортиз.нови активи'!$B$11:$B$58,$B117,'11.1.Амортиз.нови активи'!G$11:G$58)+('9.Инвестиционна програма'!G$77*SUMIF('11.1.Амортиз.нови активи'!$B$11:$B$58,$B117,'11.1.Амортиз.нови активи'!AB$11:AB$58))</f>
        <v>232</v>
      </c>
      <c r="H117" s="894">
        <f>G117+SUMIF('11.1.Амортиз.нови активи'!$B$11:$B$58,$B117,'11.1.Амортиз.нови активи'!H$11:H$58)+('9.Инвестиционна програма'!H$77*SUMIF('11.1.Амортиз.нови активи'!$B$11:$B$58,$B117,'11.1.Амортиз.нови активи'!AC$11:AC$58))</f>
        <v>282</v>
      </c>
      <c r="I117" s="894">
        <f>H117+SUMIF('11.1.Амортиз.нови активи'!$B$11:$B$58,$B117,'11.1.Амортиз.нови активи'!I$11:I$58)+('9.Инвестиционна програма'!I$77*SUMIF('11.1.Амортиз.нови активи'!$B$11:$B$58,$B117,'11.1.Амортиз.нови активи'!AD$11:AD$58))</f>
        <v>332</v>
      </c>
      <c r="J117" s="894">
        <f>I117+SUMIF('11.1.Амортиз.нови активи'!$B$11:$B$58,$B117,'11.1.Амортиз.нови активи'!J$11:J$58)+('9.Инвестиционна програма'!J$77*SUMIF('11.1.Амортиз.нови активи'!$B$11:$B$58,$B117,'11.1.Амортиз.нови активи'!AE$11:AE$58))</f>
        <v>382</v>
      </c>
      <c r="K117" s="895">
        <f>J117+SUMIF('11.1.Амортиз.нови активи'!$B$11:$B$58,$B117,'11.1.Амортиз.нови активи'!K$11:K$58)+('9.Инвестиционна програма'!K$77*SUMIF('11.1.Амортиз.нови активи'!$B$11:$B$58,$B117,'11.1.Амортиз.нови активи'!AF$11:AF$58))</f>
        <v>432</v>
      </c>
      <c r="L117" s="2246">
        <v>0</v>
      </c>
      <c r="M117" s="893">
        <f>L117+SUMIF('11.1.Амортиз.нови активи'!$B$11:$B$58,$B117,'11.1.Амортиз.нови активи'!M$11:M$58)+('9.Инвестиционна програма'!F$78*SUMIF('11.1.Амортиз.нови активи'!$B$11:$B$58,$B117,'11.1.Амортиз.нови активи'!AA$11:AA$58))</f>
        <v>0</v>
      </c>
      <c r="N117" s="894">
        <f>M117+SUMIF('11.1.Амортиз.нови активи'!$B$11:$B$58,$B117,'11.1.Амортиз.нови активи'!N$11:N$58)+('9.Инвестиционна програма'!G$78*SUMIF('11.1.Амортиз.нови активи'!$B$11:$B$58,$B117,'11.1.Амортиз.нови активи'!AB$11:AB$58))</f>
        <v>0</v>
      </c>
      <c r="O117" s="894">
        <f>N117+SUMIF('11.1.Амортиз.нови активи'!$B$11:$B$58,$B117,'11.1.Амортиз.нови активи'!O$11:O$58)+('9.Инвестиционна програма'!H$78*SUMIF('11.1.Амортиз.нови активи'!$B$11:$B$58,$B117,'11.1.Амортиз.нови активи'!AC$11:AC$58))</f>
        <v>0</v>
      </c>
      <c r="P117" s="894">
        <f>O117+SUMIF('11.1.Амортиз.нови активи'!$B$11:$B$58,$B117,'11.1.Амортиз.нови активи'!P$11:P$58)+('9.Инвестиционна програма'!I$78*SUMIF('11.1.Амортиз.нови активи'!$B$11:$B$58,$B117,'11.1.Амортиз.нови активи'!AD$11:AD$58))</f>
        <v>0</v>
      </c>
      <c r="Q117" s="894">
        <f>P117+SUMIF('11.1.Амортиз.нови активи'!$B$11:$B$58,$B117,'11.1.Амортиз.нови активи'!Q$11:Q$58)+('9.Инвестиционна програма'!J$78*SUMIF('11.1.Амортиз.нови активи'!$B$11:$B$58,$B117,'11.1.Амортиз.нови активи'!AE$11:AE$58))</f>
        <v>0</v>
      </c>
      <c r="R117" s="895">
        <f>Q117+SUMIF('11.1.Амортиз.нови активи'!$B$11:$B$58,$B117,'11.1.Амортиз.нови активи'!R$11:R$58)+('9.Инвестиционна програма'!K$78*SUMIF('11.1.Амортиз.нови активи'!$B$11:$B$58,$B117,'11.1.Амортиз.нови активи'!AF$11:AF$58))</f>
        <v>0</v>
      </c>
      <c r="S117" s="2246">
        <v>0</v>
      </c>
      <c r="T117" s="893">
        <f>S117+SUMIF('11.1.Амортиз.нови активи'!$B$11:$B$58,$B117,'11.1.Амортиз.нови активи'!T$11:T$58)+('9.Инвестиционна програма'!F$79*SUMIF('11.1.Амортиз.нови активи'!$B$11:$B$58,$B117,'11.1.Амортиз.нови активи'!AA$11:AA$58))</f>
        <v>0</v>
      </c>
      <c r="U117" s="894">
        <f>T117+SUMIF('11.1.Амортиз.нови активи'!$B$11:$B$58,$B117,'11.1.Амортиз.нови активи'!U$11:U$58)+('9.Инвестиционна програма'!G$79*SUMIF('11.1.Амортиз.нови активи'!$B$11:$B$58,$B117,'11.1.Амортиз.нови активи'!AB$11:AB$58))</f>
        <v>0</v>
      </c>
      <c r="V117" s="894">
        <f>U117+SUMIF('11.1.Амортиз.нови активи'!$B$11:$B$58,$B117,'11.1.Амортиз.нови активи'!V$11:V$58)+('9.Инвестиционна програма'!H$79*SUMIF('11.1.Амортиз.нови активи'!$B$11:$B$58,$B117,'11.1.Амортиз.нови активи'!AC$11:AC$58))</f>
        <v>0</v>
      </c>
      <c r="W117" s="894">
        <f>V117+SUMIF('11.1.Амортиз.нови активи'!$B$11:$B$58,$B117,'11.1.Амортиз.нови активи'!W$11:W$58)+('9.Инвестиционна програма'!I$79*SUMIF('11.1.Амортиз.нови активи'!$B$11:$B$58,$B117,'11.1.Амортиз.нови активи'!AD$11:AD$58))</f>
        <v>0</v>
      </c>
      <c r="X117" s="894">
        <f>W117+SUMIF('11.1.Амортиз.нови активи'!$B$11:$B$58,$B117,'11.1.Амортиз.нови активи'!X$11:X$58)+('9.Инвестиционна програма'!J$79*SUMIF('11.1.Амортиз.нови активи'!$B$11:$B$58,$B117,'11.1.Амортиз.нови активи'!AE$11:AE$58))</f>
        <v>0</v>
      </c>
      <c r="Y117" s="895">
        <f>X117+SUMIF('11.1.Амортиз.нови активи'!$B$11:$B$58,$B117,'11.1.Амортиз.нови активи'!Y$11:Y$58)+('9.Инвестиционна програма'!K$79*SUMIF('11.1.Амортиз.нови активи'!$B$11:$B$58,$B117,'11.1.Амортиз.нови активи'!AF$11:AF$58))</f>
        <v>0</v>
      </c>
      <c r="Z117" s="1672"/>
      <c r="AA117" s="1703"/>
      <c r="AB117" s="1727"/>
    </row>
    <row r="118" spans="1:28" s="1643" customFormat="1">
      <c r="A118" s="1674">
        <v>8</v>
      </c>
      <c r="B118" s="1675">
        <v>2040101</v>
      </c>
      <c r="C118" s="1729">
        <v>0.1</v>
      </c>
      <c r="D118" s="1638" t="s">
        <v>1442</v>
      </c>
      <c r="E118" s="2246">
        <v>0</v>
      </c>
      <c r="F118" s="893">
        <f>E118+SUMIF('11.1.Амортиз.нови активи'!$B$11:$B$58,$B118,'11.1.Амортиз.нови активи'!F$11:F$58)+('9.Инвестиционна програма'!F$77*SUMIF('11.1.Амортиз.нови активи'!$B$11:$B$58,$B118,'11.1.Амортиз.нови активи'!AA$11:AA$58))</f>
        <v>0</v>
      </c>
      <c r="G118" s="894">
        <f>F118+SUMIF('11.1.Амортиз.нови активи'!$B$11:$B$58,$B118,'11.1.Амортиз.нови активи'!G$11:G$58)+('9.Инвестиционна програма'!G$77*SUMIF('11.1.Амортиз.нови активи'!$B$11:$B$58,$B118,'11.1.Амортиз.нови активи'!AB$11:AB$58))</f>
        <v>0</v>
      </c>
      <c r="H118" s="894">
        <f>G118+SUMIF('11.1.Амортиз.нови активи'!$B$11:$B$58,$B118,'11.1.Амортиз.нови активи'!H$11:H$58)+('9.Инвестиционна програма'!H$77*SUMIF('11.1.Амортиз.нови активи'!$B$11:$B$58,$B118,'11.1.Амортиз.нови активи'!AC$11:AC$58))</f>
        <v>0</v>
      </c>
      <c r="I118" s="894">
        <f>H118+SUMIF('11.1.Амортиз.нови активи'!$B$11:$B$58,$B118,'11.1.Амортиз.нови активи'!I$11:I$58)+('9.Инвестиционна програма'!I$77*SUMIF('11.1.Амортиз.нови активи'!$B$11:$B$58,$B118,'11.1.Амортиз.нови активи'!AD$11:AD$58))</f>
        <v>0</v>
      </c>
      <c r="J118" s="894">
        <f>I118+SUMIF('11.1.Амортиз.нови активи'!$B$11:$B$58,$B118,'11.1.Амортиз.нови активи'!J$11:J$58)+('9.Инвестиционна програма'!J$77*SUMIF('11.1.Амортиз.нови активи'!$B$11:$B$58,$B118,'11.1.Амортиз.нови активи'!AE$11:AE$58))</f>
        <v>0</v>
      </c>
      <c r="K118" s="895">
        <f>J118+SUMIF('11.1.Амортиз.нови активи'!$B$11:$B$58,$B118,'11.1.Амортиз.нови активи'!K$11:K$58)+('9.Инвестиционна програма'!K$77*SUMIF('11.1.Амортиз.нови активи'!$B$11:$B$58,$B118,'11.1.Амортиз.нови активи'!AF$11:AF$58))</f>
        <v>0</v>
      </c>
      <c r="L118" s="2246">
        <v>0</v>
      </c>
      <c r="M118" s="893">
        <f>L118+SUMIF('11.1.Амортиз.нови активи'!$B$11:$B$58,$B118,'11.1.Амортиз.нови активи'!M$11:M$58)+('9.Инвестиционна програма'!F$78*SUMIF('11.1.Амортиз.нови активи'!$B$11:$B$58,$B118,'11.1.Амортиз.нови активи'!AA$11:AA$58))</f>
        <v>0</v>
      </c>
      <c r="N118" s="894">
        <f>M118+SUMIF('11.1.Амортиз.нови активи'!$B$11:$B$58,$B118,'11.1.Амортиз.нови активи'!N$11:N$58)+('9.Инвестиционна програма'!G$78*SUMIF('11.1.Амортиз.нови активи'!$B$11:$B$58,$B118,'11.1.Амортиз.нови активи'!AB$11:AB$58))</f>
        <v>0</v>
      </c>
      <c r="O118" s="894">
        <f>N118+SUMIF('11.1.Амортиз.нови активи'!$B$11:$B$58,$B118,'11.1.Амортиз.нови активи'!O$11:O$58)+('9.Инвестиционна програма'!H$78*SUMIF('11.1.Амортиз.нови активи'!$B$11:$B$58,$B118,'11.1.Амортиз.нови активи'!AC$11:AC$58))</f>
        <v>0</v>
      </c>
      <c r="P118" s="894">
        <f>O118+SUMIF('11.1.Амортиз.нови активи'!$B$11:$B$58,$B118,'11.1.Амортиз.нови активи'!P$11:P$58)+('9.Инвестиционна програма'!I$78*SUMIF('11.1.Амортиз.нови активи'!$B$11:$B$58,$B118,'11.1.Амортиз.нови активи'!AD$11:AD$58))</f>
        <v>0</v>
      </c>
      <c r="Q118" s="894">
        <f>P118+SUMIF('11.1.Амортиз.нови активи'!$B$11:$B$58,$B118,'11.1.Амортиз.нови активи'!Q$11:Q$58)+('9.Инвестиционна програма'!J$78*SUMIF('11.1.Амортиз.нови активи'!$B$11:$B$58,$B118,'11.1.Амортиз.нови активи'!AE$11:AE$58))</f>
        <v>0</v>
      </c>
      <c r="R118" s="895">
        <f>Q118+SUMIF('11.1.Амортиз.нови активи'!$B$11:$B$58,$B118,'11.1.Амортиз.нови активи'!R$11:R$58)+('9.Инвестиционна програма'!K$78*SUMIF('11.1.Амортиз.нови активи'!$B$11:$B$58,$B118,'11.1.Амортиз.нови активи'!AF$11:AF$58))</f>
        <v>0</v>
      </c>
      <c r="S118" s="2246">
        <v>0</v>
      </c>
      <c r="T118" s="893">
        <f>S118+SUMIF('11.1.Амортиз.нови активи'!$B$11:$B$58,$B118,'11.1.Амортиз.нови активи'!T$11:T$58)+('9.Инвестиционна програма'!F$79*SUMIF('11.1.Амортиз.нови активи'!$B$11:$B$58,$B118,'11.1.Амортиз.нови активи'!AA$11:AA$58))</f>
        <v>0</v>
      </c>
      <c r="U118" s="894">
        <f>T118+SUMIF('11.1.Амортиз.нови активи'!$B$11:$B$58,$B118,'11.1.Амортиз.нови активи'!U$11:U$58)+('9.Инвестиционна програма'!G$79*SUMIF('11.1.Амортиз.нови активи'!$B$11:$B$58,$B118,'11.1.Амортиз.нови активи'!AB$11:AB$58))</f>
        <v>0</v>
      </c>
      <c r="V118" s="894">
        <f>U118+SUMIF('11.1.Амортиз.нови активи'!$B$11:$B$58,$B118,'11.1.Амортиз.нови активи'!V$11:V$58)+('9.Инвестиционна програма'!H$79*SUMIF('11.1.Амортиз.нови активи'!$B$11:$B$58,$B118,'11.1.Амортиз.нови активи'!AC$11:AC$58))</f>
        <v>0</v>
      </c>
      <c r="W118" s="894">
        <f>V118+SUMIF('11.1.Амортиз.нови активи'!$B$11:$B$58,$B118,'11.1.Амортиз.нови активи'!W$11:W$58)+('9.Инвестиционна програма'!I$79*SUMIF('11.1.Амортиз.нови активи'!$B$11:$B$58,$B118,'11.1.Амортиз.нови активи'!AD$11:AD$58))</f>
        <v>0</v>
      </c>
      <c r="X118" s="894">
        <f>W118+SUMIF('11.1.Амортиз.нови активи'!$B$11:$B$58,$B118,'11.1.Амортиз.нови активи'!X$11:X$58)+('9.Инвестиционна програма'!J$79*SUMIF('11.1.Амортиз.нови активи'!$B$11:$B$58,$B118,'11.1.Амортиз.нови активи'!AE$11:AE$58))</f>
        <v>0</v>
      </c>
      <c r="Y118" s="895">
        <f>X118+SUMIF('11.1.Амортиз.нови активи'!$B$11:$B$58,$B118,'11.1.Амортиз.нови активи'!Y$11:Y$58)+('9.Инвестиционна програма'!K$79*SUMIF('11.1.Амортиз.нови активи'!$B$11:$B$58,$B118,'11.1.Амортиз.нови активи'!AF$11:AF$58))</f>
        <v>0</v>
      </c>
      <c r="Z118" s="1672"/>
      <c r="AA118" s="1703"/>
      <c r="AB118" s="1727"/>
    </row>
    <row r="119" spans="1:28" s="1643" customFormat="1">
      <c r="A119" s="1730">
        <v>9</v>
      </c>
      <c r="B119" s="1675">
        <v>2040102</v>
      </c>
      <c r="C119" s="1729">
        <v>0.04</v>
      </c>
      <c r="D119" s="1638" t="s">
        <v>604</v>
      </c>
      <c r="E119" s="2246">
        <v>0</v>
      </c>
      <c r="F119" s="893">
        <f>E119+SUMIF('11.1.Амортиз.нови активи'!$B$11:$B$58,$B119,'11.1.Амортиз.нови активи'!F$11:F$58)+('9.Инвестиционна програма'!F$77*SUMIF('11.1.Амортиз.нови активи'!$B$11:$B$58,$B119,'11.1.Амортиз.нови активи'!AA$11:AA$58))</f>
        <v>0</v>
      </c>
      <c r="G119" s="894">
        <f>F119+SUMIF('11.1.Амортиз.нови активи'!$B$11:$B$58,$B119,'11.1.Амортиз.нови активи'!G$11:G$58)+('9.Инвестиционна програма'!G$77*SUMIF('11.1.Амортиз.нови активи'!$B$11:$B$58,$B119,'11.1.Амортиз.нови активи'!AB$11:AB$58))</f>
        <v>0</v>
      </c>
      <c r="H119" s="894">
        <f>G119+SUMIF('11.1.Амортиз.нови активи'!$B$11:$B$58,$B119,'11.1.Амортиз.нови активи'!H$11:H$58)+('9.Инвестиционна програма'!H$77*SUMIF('11.1.Амортиз.нови активи'!$B$11:$B$58,$B119,'11.1.Амортиз.нови активи'!AC$11:AC$58))</f>
        <v>0</v>
      </c>
      <c r="I119" s="894">
        <f>H119+SUMIF('11.1.Амортиз.нови активи'!$B$11:$B$58,$B119,'11.1.Амортиз.нови активи'!I$11:I$58)+('9.Инвестиционна програма'!I$77*SUMIF('11.1.Амортиз.нови активи'!$B$11:$B$58,$B119,'11.1.Амортиз.нови активи'!AD$11:AD$58))</f>
        <v>0</v>
      </c>
      <c r="J119" s="894">
        <f>I119+SUMIF('11.1.Амортиз.нови активи'!$B$11:$B$58,$B119,'11.1.Амортиз.нови активи'!J$11:J$58)+('9.Инвестиционна програма'!J$77*SUMIF('11.1.Амортиз.нови активи'!$B$11:$B$58,$B119,'11.1.Амортиз.нови активи'!AE$11:AE$58))</f>
        <v>0</v>
      </c>
      <c r="K119" s="895">
        <f>J119+SUMIF('11.1.Амортиз.нови активи'!$B$11:$B$58,$B119,'11.1.Амортиз.нови активи'!K$11:K$58)+('9.Инвестиционна програма'!K$77*SUMIF('11.1.Амортиз.нови активи'!$B$11:$B$58,$B119,'11.1.Амортиз.нови активи'!AF$11:AF$58))</f>
        <v>0</v>
      </c>
      <c r="L119" s="2246">
        <v>0</v>
      </c>
      <c r="M119" s="893">
        <f>L119+SUMIF('11.1.Амортиз.нови активи'!$B$11:$B$58,$B119,'11.1.Амортиз.нови активи'!M$11:M$58)+('9.Инвестиционна програма'!F$78*SUMIF('11.1.Амортиз.нови активи'!$B$11:$B$58,$B119,'11.1.Амортиз.нови активи'!AA$11:AA$58))</f>
        <v>0</v>
      </c>
      <c r="N119" s="894">
        <f>M119+SUMIF('11.1.Амортиз.нови активи'!$B$11:$B$58,$B119,'11.1.Амортиз.нови активи'!N$11:N$58)+('9.Инвестиционна програма'!G$78*SUMIF('11.1.Амортиз.нови активи'!$B$11:$B$58,$B119,'11.1.Амортиз.нови активи'!AB$11:AB$58))</f>
        <v>0</v>
      </c>
      <c r="O119" s="894">
        <f>N119+SUMIF('11.1.Амортиз.нови активи'!$B$11:$B$58,$B119,'11.1.Амортиз.нови активи'!O$11:O$58)+('9.Инвестиционна програма'!H$78*SUMIF('11.1.Амортиз.нови активи'!$B$11:$B$58,$B119,'11.1.Амортиз.нови активи'!AC$11:AC$58))</f>
        <v>0</v>
      </c>
      <c r="P119" s="894">
        <f>O119+SUMIF('11.1.Амортиз.нови активи'!$B$11:$B$58,$B119,'11.1.Амортиз.нови активи'!P$11:P$58)+('9.Инвестиционна програма'!I$78*SUMIF('11.1.Амортиз.нови активи'!$B$11:$B$58,$B119,'11.1.Амортиз.нови активи'!AD$11:AD$58))</f>
        <v>0</v>
      </c>
      <c r="Q119" s="894">
        <f>P119+SUMIF('11.1.Амортиз.нови активи'!$B$11:$B$58,$B119,'11.1.Амортиз.нови активи'!Q$11:Q$58)+('9.Инвестиционна програма'!J$78*SUMIF('11.1.Амортиз.нови активи'!$B$11:$B$58,$B119,'11.1.Амортиз.нови активи'!AE$11:AE$58))</f>
        <v>0</v>
      </c>
      <c r="R119" s="895">
        <f>Q119+SUMIF('11.1.Амортиз.нови активи'!$B$11:$B$58,$B119,'11.1.Амортиз.нови активи'!R$11:R$58)+('9.Инвестиционна програма'!K$78*SUMIF('11.1.Амортиз.нови активи'!$B$11:$B$58,$B119,'11.1.Амортиз.нови активи'!AF$11:AF$58))</f>
        <v>0</v>
      </c>
      <c r="S119" s="2246">
        <v>0</v>
      </c>
      <c r="T119" s="893">
        <f>S119+SUMIF('11.1.Амортиз.нови активи'!$B$11:$B$58,$B119,'11.1.Амортиз.нови активи'!T$11:T$58)+('9.Инвестиционна програма'!F$79*SUMIF('11.1.Амортиз.нови активи'!$B$11:$B$58,$B119,'11.1.Амортиз.нови активи'!AA$11:AA$58))</f>
        <v>0</v>
      </c>
      <c r="U119" s="894">
        <f>T119+SUMIF('11.1.Амортиз.нови активи'!$B$11:$B$58,$B119,'11.1.Амортиз.нови активи'!U$11:U$58)+('9.Инвестиционна програма'!G$79*SUMIF('11.1.Амортиз.нови активи'!$B$11:$B$58,$B119,'11.1.Амортиз.нови активи'!AB$11:AB$58))</f>
        <v>0</v>
      </c>
      <c r="V119" s="894">
        <f>U119+SUMIF('11.1.Амортиз.нови активи'!$B$11:$B$58,$B119,'11.1.Амортиз.нови активи'!V$11:V$58)+('9.Инвестиционна програма'!H$79*SUMIF('11.1.Амортиз.нови активи'!$B$11:$B$58,$B119,'11.1.Амортиз.нови активи'!AC$11:AC$58))</f>
        <v>0</v>
      </c>
      <c r="W119" s="894">
        <f>V119+SUMIF('11.1.Амортиз.нови активи'!$B$11:$B$58,$B119,'11.1.Амортиз.нови активи'!W$11:W$58)+('9.Инвестиционна програма'!I$79*SUMIF('11.1.Амортиз.нови активи'!$B$11:$B$58,$B119,'11.1.Амортиз.нови активи'!AD$11:AD$58))</f>
        <v>0</v>
      </c>
      <c r="X119" s="894">
        <f>W119+SUMIF('11.1.Амортиз.нови активи'!$B$11:$B$58,$B119,'11.1.Амортиз.нови активи'!X$11:X$58)+('9.Инвестиционна програма'!J$79*SUMIF('11.1.Амортиз.нови активи'!$B$11:$B$58,$B119,'11.1.Амортиз.нови активи'!AE$11:AE$58))</f>
        <v>0</v>
      </c>
      <c r="Y119" s="895">
        <f>X119+SUMIF('11.1.Амортиз.нови активи'!$B$11:$B$58,$B119,'11.1.Амортиз.нови активи'!Y$11:Y$58)+('9.Инвестиционна програма'!K$79*SUMIF('11.1.Амортиз.нови активи'!$B$11:$B$58,$B119,'11.1.Амортиз.нови активи'!AF$11:AF$58))</f>
        <v>0</v>
      </c>
      <c r="Z119" s="1672"/>
      <c r="AA119" s="1703"/>
      <c r="AB119" s="1727"/>
    </row>
    <row r="120" spans="1:28" s="1643" customFormat="1">
      <c r="A120" s="1730">
        <v>10</v>
      </c>
      <c r="B120" s="1675">
        <v>2040201</v>
      </c>
      <c r="C120" s="1676">
        <v>0.02</v>
      </c>
      <c r="D120" s="1624" t="s">
        <v>1007</v>
      </c>
      <c r="E120" s="2246">
        <v>0</v>
      </c>
      <c r="F120" s="893">
        <f>E120+SUMIF('11.1.Амортиз.нови активи'!$B$11:$B$58,$B120,'11.1.Амортиз.нови активи'!F$11:F$58)+('9.Инвестиционна програма'!F$77*SUMIF('11.1.Амортиз.нови активи'!$B$11:$B$58,$B120,'11.1.Амортиз.нови активи'!AA$11:AA$58))</f>
        <v>0</v>
      </c>
      <c r="G120" s="894">
        <f>F120+SUMIF('11.1.Амортиз.нови активи'!$B$11:$B$58,$B120,'11.1.Амортиз.нови активи'!G$11:G$58)+('9.Инвестиционна програма'!G$77*SUMIF('11.1.Амортиз.нови активи'!$B$11:$B$58,$B120,'11.1.Амортиз.нови активи'!AB$11:AB$58))</f>
        <v>0</v>
      </c>
      <c r="H120" s="894">
        <f>G120+SUMIF('11.1.Амортиз.нови активи'!$B$11:$B$58,$B120,'11.1.Амортиз.нови активи'!H$11:H$58)+('9.Инвестиционна програма'!H$77*SUMIF('11.1.Амортиз.нови активи'!$B$11:$B$58,$B120,'11.1.Амортиз.нови активи'!AC$11:AC$58))</f>
        <v>0</v>
      </c>
      <c r="I120" s="894">
        <f>H120+SUMIF('11.1.Амортиз.нови активи'!$B$11:$B$58,$B120,'11.1.Амортиз.нови активи'!I$11:I$58)+('9.Инвестиционна програма'!I$77*SUMIF('11.1.Амортиз.нови активи'!$B$11:$B$58,$B120,'11.1.Амортиз.нови активи'!AD$11:AD$58))</f>
        <v>0</v>
      </c>
      <c r="J120" s="894">
        <f>I120+SUMIF('11.1.Амортиз.нови активи'!$B$11:$B$58,$B120,'11.1.Амортиз.нови активи'!J$11:J$58)+('9.Инвестиционна програма'!J$77*SUMIF('11.1.Амортиз.нови активи'!$B$11:$B$58,$B120,'11.1.Амортиз.нови активи'!AE$11:AE$58))</f>
        <v>0</v>
      </c>
      <c r="K120" s="895">
        <f>J120+SUMIF('11.1.Амортиз.нови активи'!$B$11:$B$58,$B120,'11.1.Амортиз.нови активи'!K$11:K$58)+('9.Инвестиционна програма'!K$77*SUMIF('11.1.Амортиз.нови активи'!$B$11:$B$58,$B120,'11.1.Амортиз.нови активи'!AF$11:AF$58))</f>
        <v>0</v>
      </c>
      <c r="L120" s="2246">
        <v>0</v>
      </c>
      <c r="M120" s="893">
        <f>L120+SUMIF('11.1.Амортиз.нови активи'!$B$11:$B$58,$B120,'11.1.Амортиз.нови активи'!M$11:M$58)+('9.Инвестиционна програма'!F$78*SUMIF('11.1.Амортиз.нови активи'!$B$11:$B$58,$B120,'11.1.Амортиз.нови активи'!AA$11:AA$58))</f>
        <v>0</v>
      </c>
      <c r="N120" s="894">
        <f>M120+SUMIF('11.1.Амортиз.нови активи'!$B$11:$B$58,$B120,'11.1.Амортиз.нови активи'!N$11:N$58)+('9.Инвестиционна програма'!G$78*SUMIF('11.1.Амортиз.нови активи'!$B$11:$B$58,$B120,'11.1.Амортиз.нови активи'!AB$11:AB$58))</f>
        <v>0</v>
      </c>
      <c r="O120" s="894">
        <f>N120+SUMIF('11.1.Амортиз.нови активи'!$B$11:$B$58,$B120,'11.1.Амортиз.нови активи'!O$11:O$58)+('9.Инвестиционна програма'!H$78*SUMIF('11.1.Амортиз.нови активи'!$B$11:$B$58,$B120,'11.1.Амортиз.нови активи'!AC$11:AC$58))</f>
        <v>0</v>
      </c>
      <c r="P120" s="894">
        <f>O120+SUMIF('11.1.Амортиз.нови активи'!$B$11:$B$58,$B120,'11.1.Амортиз.нови активи'!P$11:P$58)+('9.Инвестиционна програма'!I$78*SUMIF('11.1.Амортиз.нови активи'!$B$11:$B$58,$B120,'11.1.Амортиз.нови активи'!AD$11:AD$58))</f>
        <v>0</v>
      </c>
      <c r="Q120" s="894">
        <f>P120+SUMIF('11.1.Амортиз.нови активи'!$B$11:$B$58,$B120,'11.1.Амортиз.нови активи'!Q$11:Q$58)+('9.Инвестиционна програма'!J$78*SUMIF('11.1.Амортиз.нови активи'!$B$11:$B$58,$B120,'11.1.Амортиз.нови активи'!AE$11:AE$58))</f>
        <v>0</v>
      </c>
      <c r="R120" s="895">
        <f>Q120+SUMIF('11.1.Амортиз.нови активи'!$B$11:$B$58,$B120,'11.1.Амортиз.нови активи'!R$11:R$58)+('9.Инвестиционна програма'!K$78*SUMIF('11.1.Амортиз.нови активи'!$B$11:$B$58,$B120,'11.1.Амортиз.нови активи'!AF$11:AF$58))</f>
        <v>0</v>
      </c>
      <c r="S120" s="2246">
        <v>0</v>
      </c>
      <c r="T120" s="893">
        <f>S120+SUMIF('11.1.Амортиз.нови активи'!$B$11:$B$58,$B120,'11.1.Амортиз.нови активи'!T$11:T$58)+('9.Инвестиционна програма'!F$79*SUMIF('11.1.Амортиз.нови активи'!$B$11:$B$58,$B120,'11.1.Амортиз.нови активи'!AA$11:AA$58))</f>
        <v>0</v>
      </c>
      <c r="U120" s="894">
        <f>T120+SUMIF('11.1.Амортиз.нови активи'!$B$11:$B$58,$B120,'11.1.Амортиз.нови активи'!U$11:U$58)+('9.Инвестиционна програма'!G$79*SUMIF('11.1.Амортиз.нови активи'!$B$11:$B$58,$B120,'11.1.Амортиз.нови активи'!AB$11:AB$58))</f>
        <v>0</v>
      </c>
      <c r="V120" s="894">
        <f>U120+SUMIF('11.1.Амортиз.нови активи'!$B$11:$B$58,$B120,'11.1.Амортиз.нови активи'!V$11:V$58)+('9.Инвестиционна програма'!H$79*SUMIF('11.1.Амортиз.нови активи'!$B$11:$B$58,$B120,'11.1.Амортиз.нови активи'!AC$11:AC$58))</f>
        <v>0</v>
      </c>
      <c r="W120" s="894">
        <f>V120+SUMIF('11.1.Амортиз.нови активи'!$B$11:$B$58,$B120,'11.1.Амортиз.нови активи'!W$11:W$58)+('9.Инвестиционна програма'!I$79*SUMIF('11.1.Амортиз.нови активи'!$B$11:$B$58,$B120,'11.1.Амортиз.нови активи'!AD$11:AD$58))</f>
        <v>0</v>
      </c>
      <c r="X120" s="894">
        <f>W120+SUMIF('11.1.Амортиз.нови активи'!$B$11:$B$58,$B120,'11.1.Амортиз.нови активи'!X$11:X$58)+('9.Инвестиционна програма'!J$79*SUMIF('11.1.Амортиз.нови активи'!$B$11:$B$58,$B120,'11.1.Амортиз.нови активи'!AE$11:AE$58))</f>
        <v>0</v>
      </c>
      <c r="Y120" s="895">
        <f>X120+SUMIF('11.1.Амортиз.нови активи'!$B$11:$B$58,$B120,'11.1.Амортиз.нови активи'!Y$11:Y$58)+('9.Инвестиционна програма'!K$79*SUMIF('11.1.Амортиз.нови активи'!$B$11:$B$58,$B120,'11.1.Амортиз.нови активи'!AF$11:AF$58))</f>
        <v>0</v>
      </c>
      <c r="Z120" s="1672"/>
      <c r="AA120" s="1703"/>
      <c r="AB120" s="1727"/>
    </row>
    <row r="121" spans="1:28" s="1643" customFormat="1">
      <c r="A121" s="1730">
        <v>11</v>
      </c>
      <c r="B121" s="1675">
        <v>2040202</v>
      </c>
      <c r="C121" s="1676">
        <v>0.02</v>
      </c>
      <c r="D121" s="1624" t="s">
        <v>1008</v>
      </c>
      <c r="E121" s="2246">
        <v>0</v>
      </c>
      <c r="F121" s="893">
        <f>E121+SUMIF('11.1.Амортиз.нови активи'!$B$11:$B$58,$B121,'11.1.Амортиз.нови активи'!F$11:F$58)+('9.Инвестиционна програма'!F$77*SUMIF('11.1.Амортиз.нови активи'!$B$11:$B$58,$B121,'11.1.Амортиз.нови активи'!AA$11:AA$58))</f>
        <v>0</v>
      </c>
      <c r="G121" s="894">
        <f>F121+SUMIF('11.1.Амортиз.нови активи'!$B$11:$B$58,$B121,'11.1.Амортиз.нови активи'!G$11:G$58)+('9.Инвестиционна програма'!G$77*SUMIF('11.1.Амортиз.нови активи'!$B$11:$B$58,$B121,'11.1.Амортиз.нови активи'!AB$11:AB$58))</f>
        <v>0</v>
      </c>
      <c r="H121" s="894">
        <f>G121+SUMIF('11.1.Амортиз.нови активи'!$B$11:$B$58,$B121,'11.1.Амортиз.нови активи'!H$11:H$58)+('9.Инвестиционна програма'!H$77*SUMIF('11.1.Амортиз.нови активи'!$B$11:$B$58,$B121,'11.1.Амортиз.нови активи'!AC$11:AC$58))</f>
        <v>0</v>
      </c>
      <c r="I121" s="894">
        <f>H121+SUMIF('11.1.Амортиз.нови активи'!$B$11:$B$58,$B121,'11.1.Амортиз.нови активи'!I$11:I$58)+('9.Инвестиционна програма'!I$77*SUMIF('11.1.Амортиз.нови активи'!$B$11:$B$58,$B121,'11.1.Амортиз.нови активи'!AD$11:AD$58))</f>
        <v>0</v>
      </c>
      <c r="J121" s="894">
        <f>I121+SUMIF('11.1.Амортиз.нови активи'!$B$11:$B$58,$B121,'11.1.Амортиз.нови активи'!J$11:J$58)+('9.Инвестиционна програма'!J$77*SUMIF('11.1.Амортиз.нови активи'!$B$11:$B$58,$B121,'11.1.Амортиз.нови активи'!AE$11:AE$58))</f>
        <v>0</v>
      </c>
      <c r="K121" s="895">
        <f>J121+SUMIF('11.1.Амортиз.нови активи'!$B$11:$B$58,$B121,'11.1.Амортиз.нови активи'!K$11:K$58)+('9.Инвестиционна програма'!K$77*SUMIF('11.1.Амортиз.нови активи'!$B$11:$B$58,$B121,'11.1.Амортиз.нови активи'!AF$11:AF$58))</f>
        <v>0</v>
      </c>
      <c r="L121" s="2246">
        <v>0</v>
      </c>
      <c r="M121" s="893">
        <f>L121+SUMIF('11.1.Амортиз.нови активи'!$B$11:$B$58,$B121,'11.1.Амортиз.нови активи'!M$11:M$58)+('9.Инвестиционна програма'!F$78*SUMIF('11.1.Амортиз.нови активи'!$B$11:$B$58,$B121,'11.1.Амортиз.нови активи'!AA$11:AA$58))</f>
        <v>0</v>
      </c>
      <c r="N121" s="894">
        <f>M121+SUMIF('11.1.Амортиз.нови активи'!$B$11:$B$58,$B121,'11.1.Амортиз.нови активи'!N$11:N$58)+('9.Инвестиционна програма'!G$78*SUMIF('11.1.Амортиз.нови активи'!$B$11:$B$58,$B121,'11.1.Амортиз.нови активи'!AB$11:AB$58))</f>
        <v>0</v>
      </c>
      <c r="O121" s="894">
        <f>N121+SUMIF('11.1.Амортиз.нови активи'!$B$11:$B$58,$B121,'11.1.Амортиз.нови активи'!O$11:O$58)+('9.Инвестиционна програма'!H$78*SUMIF('11.1.Амортиз.нови активи'!$B$11:$B$58,$B121,'11.1.Амортиз.нови активи'!AC$11:AC$58))</f>
        <v>0</v>
      </c>
      <c r="P121" s="894">
        <f>O121+SUMIF('11.1.Амортиз.нови активи'!$B$11:$B$58,$B121,'11.1.Амортиз.нови активи'!P$11:P$58)+('9.Инвестиционна програма'!I$78*SUMIF('11.1.Амортиз.нови активи'!$B$11:$B$58,$B121,'11.1.Амортиз.нови активи'!AD$11:AD$58))</f>
        <v>0</v>
      </c>
      <c r="Q121" s="894">
        <f>P121+SUMIF('11.1.Амортиз.нови активи'!$B$11:$B$58,$B121,'11.1.Амортиз.нови активи'!Q$11:Q$58)+('9.Инвестиционна програма'!J$78*SUMIF('11.1.Амортиз.нови активи'!$B$11:$B$58,$B121,'11.1.Амортиз.нови активи'!AE$11:AE$58))</f>
        <v>0</v>
      </c>
      <c r="R121" s="895">
        <f>Q121+SUMIF('11.1.Амортиз.нови активи'!$B$11:$B$58,$B121,'11.1.Амортиз.нови активи'!R$11:R$58)+('9.Инвестиционна програма'!K$78*SUMIF('11.1.Амортиз.нови активи'!$B$11:$B$58,$B121,'11.1.Амортиз.нови активи'!AF$11:AF$58))</f>
        <v>0</v>
      </c>
      <c r="S121" s="2246">
        <v>0</v>
      </c>
      <c r="T121" s="893">
        <f>S121+SUMIF('11.1.Амортиз.нови активи'!$B$11:$B$58,$B121,'11.1.Амортиз.нови активи'!T$11:T$58)+('9.Инвестиционна програма'!F$79*SUMIF('11.1.Амортиз.нови активи'!$B$11:$B$58,$B121,'11.1.Амортиз.нови активи'!AA$11:AA$58))</f>
        <v>0</v>
      </c>
      <c r="U121" s="894">
        <f>T121+SUMIF('11.1.Амортиз.нови активи'!$B$11:$B$58,$B121,'11.1.Амортиз.нови активи'!U$11:U$58)+('9.Инвестиционна програма'!G$79*SUMIF('11.1.Амортиз.нови активи'!$B$11:$B$58,$B121,'11.1.Амортиз.нови активи'!AB$11:AB$58))</f>
        <v>0</v>
      </c>
      <c r="V121" s="894">
        <f>U121+SUMIF('11.1.Амортиз.нови активи'!$B$11:$B$58,$B121,'11.1.Амортиз.нови активи'!V$11:V$58)+('9.Инвестиционна програма'!H$79*SUMIF('11.1.Амортиз.нови активи'!$B$11:$B$58,$B121,'11.1.Амортиз.нови активи'!AC$11:AC$58))</f>
        <v>0</v>
      </c>
      <c r="W121" s="894">
        <f>V121+SUMIF('11.1.Амортиз.нови активи'!$B$11:$B$58,$B121,'11.1.Амортиз.нови активи'!W$11:W$58)+('9.Инвестиционна програма'!I$79*SUMIF('11.1.Амортиз.нови активи'!$B$11:$B$58,$B121,'11.1.Амортиз.нови активи'!AD$11:AD$58))</f>
        <v>0</v>
      </c>
      <c r="X121" s="894">
        <f>W121+SUMIF('11.1.Амортиз.нови активи'!$B$11:$B$58,$B121,'11.1.Амортиз.нови активи'!X$11:X$58)+('9.Инвестиционна програма'!J$79*SUMIF('11.1.Амортиз.нови активи'!$B$11:$B$58,$B121,'11.1.Амортиз.нови активи'!AE$11:AE$58))</f>
        <v>0</v>
      </c>
      <c r="Y121" s="895">
        <f>X121+SUMIF('11.1.Амортиз.нови активи'!$B$11:$B$58,$B121,'11.1.Амортиз.нови активи'!Y$11:Y$58)+('9.Инвестиционна програма'!K$79*SUMIF('11.1.Амортиз.нови активи'!$B$11:$B$58,$B121,'11.1.Амортиз.нови активи'!AF$11:AF$58))</f>
        <v>0</v>
      </c>
      <c r="Z121" s="1672"/>
      <c r="AA121" s="1703"/>
      <c r="AB121" s="1727"/>
    </row>
    <row r="122" spans="1:28" s="1643" customFormat="1">
      <c r="A122" s="1730">
        <v>12</v>
      </c>
      <c r="B122" s="1675">
        <v>2040203</v>
      </c>
      <c r="C122" s="1676">
        <v>0.02</v>
      </c>
      <c r="D122" s="1624" t="s">
        <v>590</v>
      </c>
      <c r="E122" s="2246">
        <v>0</v>
      </c>
      <c r="F122" s="893">
        <f>E122+SUMIF('11.1.Амортиз.нови активи'!$B$11:$B$58,$B122,'11.1.Амортиз.нови активи'!F$11:F$58)+('9.Инвестиционна програма'!F$77*SUMIF('11.1.Амортиз.нови активи'!$B$11:$B$58,$B122,'11.1.Амортиз.нови активи'!AA$11:AA$58))</f>
        <v>0</v>
      </c>
      <c r="G122" s="894">
        <f>F122+SUMIF('11.1.Амортиз.нови активи'!$B$11:$B$58,$B122,'11.1.Амортиз.нови активи'!G$11:G$58)+('9.Инвестиционна програма'!G$77*SUMIF('11.1.Амортиз.нови активи'!$B$11:$B$58,$B122,'11.1.Амортиз.нови активи'!AB$11:AB$58))</f>
        <v>0</v>
      </c>
      <c r="H122" s="894">
        <f>G122+SUMIF('11.1.Амортиз.нови активи'!$B$11:$B$58,$B122,'11.1.Амортиз.нови активи'!H$11:H$58)+('9.Инвестиционна програма'!H$77*SUMIF('11.1.Амортиз.нови активи'!$B$11:$B$58,$B122,'11.1.Амортиз.нови активи'!AC$11:AC$58))</f>
        <v>0</v>
      </c>
      <c r="I122" s="894">
        <f>H122+SUMIF('11.1.Амортиз.нови активи'!$B$11:$B$58,$B122,'11.1.Амортиз.нови активи'!I$11:I$58)+('9.Инвестиционна програма'!I$77*SUMIF('11.1.Амортиз.нови активи'!$B$11:$B$58,$B122,'11.1.Амортиз.нови активи'!AD$11:AD$58))</f>
        <v>0</v>
      </c>
      <c r="J122" s="894">
        <f>I122+SUMIF('11.1.Амортиз.нови активи'!$B$11:$B$58,$B122,'11.1.Амортиз.нови активи'!J$11:J$58)+('9.Инвестиционна програма'!J$77*SUMIF('11.1.Амортиз.нови активи'!$B$11:$B$58,$B122,'11.1.Амортиз.нови активи'!AE$11:AE$58))</f>
        <v>0</v>
      </c>
      <c r="K122" s="895">
        <f>J122+SUMIF('11.1.Амортиз.нови активи'!$B$11:$B$58,$B122,'11.1.Амортиз.нови активи'!K$11:K$58)+('9.Инвестиционна програма'!K$77*SUMIF('11.1.Амортиз.нови активи'!$B$11:$B$58,$B122,'11.1.Амортиз.нови активи'!AF$11:AF$58))</f>
        <v>0</v>
      </c>
      <c r="L122" s="2246">
        <v>0</v>
      </c>
      <c r="M122" s="893">
        <f>L122+SUMIF('11.1.Амортиз.нови активи'!$B$11:$B$58,$B122,'11.1.Амортиз.нови активи'!M$11:M$58)+('9.Инвестиционна програма'!F$78*SUMIF('11.1.Амортиз.нови активи'!$B$11:$B$58,$B122,'11.1.Амортиз.нови активи'!AA$11:AA$58))</f>
        <v>0</v>
      </c>
      <c r="N122" s="894">
        <f>M122+SUMIF('11.1.Амортиз.нови активи'!$B$11:$B$58,$B122,'11.1.Амортиз.нови активи'!N$11:N$58)+('9.Инвестиционна програма'!G$78*SUMIF('11.1.Амортиз.нови активи'!$B$11:$B$58,$B122,'11.1.Амортиз.нови активи'!AB$11:AB$58))</f>
        <v>0</v>
      </c>
      <c r="O122" s="894">
        <f>N122+SUMIF('11.1.Амортиз.нови активи'!$B$11:$B$58,$B122,'11.1.Амортиз.нови активи'!O$11:O$58)+('9.Инвестиционна програма'!H$78*SUMIF('11.1.Амортиз.нови активи'!$B$11:$B$58,$B122,'11.1.Амортиз.нови активи'!AC$11:AC$58))</f>
        <v>0</v>
      </c>
      <c r="P122" s="894">
        <f>O122+SUMIF('11.1.Амортиз.нови активи'!$B$11:$B$58,$B122,'11.1.Амортиз.нови активи'!P$11:P$58)+('9.Инвестиционна програма'!I$78*SUMIF('11.1.Амортиз.нови активи'!$B$11:$B$58,$B122,'11.1.Амортиз.нови активи'!AD$11:AD$58))</f>
        <v>0</v>
      </c>
      <c r="Q122" s="894">
        <f>P122+SUMIF('11.1.Амортиз.нови активи'!$B$11:$B$58,$B122,'11.1.Амортиз.нови активи'!Q$11:Q$58)+('9.Инвестиционна програма'!J$78*SUMIF('11.1.Амортиз.нови активи'!$B$11:$B$58,$B122,'11.1.Амортиз.нови активи'!AE$11:AE$58))</f>
        <v>0</v>
      </c>
      <c r="R122" s="895">
        <f>Q122+SUMIF('11.1.Амортиз.нови активи'!$B$11:$B$58,$B122,'11.1.Амортиз.нови активи'!R$11:R$58)+('9.Инвестиционна програма'!K$78*SUMIF('11.1.Амортиз.нови активи'!$B$11:$B$58,$B122,'11.1.Амортиз.нови активи'!AF$11:AF$58))</f>
        <v>0</v>
      </c>
      <c r="S122" s="2246">
        <v>0</v>
      </c>
      <c r="T122" s="893">
        <f>S122+SUMIF('11.1.Амортиз.нови активи'!$B$11:$B$58,$B122,'11.1.Амортиз.нови активи'!T$11:T$58)+('9.Инвестиционна програма'!F$79*SUMIF('11.1.Амортиз.нови активи'!$B$11:$B$58,$B122,'11.1.Амортиз.нови активи'!AA$11:AA$58))</f>
        <v>0</v>
      </c>
      <c r="U122" s="894">
        <f>T122+SUMIF('11.1.Амортиз.нови активи'!$B$11:$B$58,$B122,'11.1.Амортиз.нови активи'!U$11:U$58)+('9.Инвестиционна програма'!G$79*SUMIF('11.1.Амортиз.нови активи'!$B$11:$B$58,$B122,'11.1.Амортиз.нови активи'!AB$11:AB$58))</f>
        <v>0</v>
      </c>
      <c r="V122" s="894">
        <f>U122+SUMIF('11.1.Амортиз.нови активи'!$B$11:$B$58,$B122,'11.1.Амортиз.нови активи'!V$11:V$58)+('9.Инвестиционна програма'!H$79*SUMIF('11.1.Амортиз.нови активи'!$B$11:$B$58,$B122,'11.1.Амортиз.нови активи'!AC$11:AC$58))</f>
        <v>0</v>
      </c>
      <c r="W122" s="894">
        <f>V122+SUMIF('11.1.Амортиз.нови активи'!$B$11:$B$58,$B122,'11.1.Амортиз.нови активи'!W$11:W$58)+('9.Инвестиционна програма'!I$79*SUMIF('11.1.Амортиз.нови активи'!$B$11:$B$58,$B122,'11.1.Амортиз.нови активи'!AD$11:AD$58))</f>
        <v>0</v>
      </c>
      <c r="X122" s="894">
        <f>W122+SUMIF('11.1.Амортиз.нови активи'!$B$11:$B$58,$B122,'11.1.Амортиз.нови активи'!X$11:X$58)+('9.Инвестиционна програма'!J$79*SUMIF('11.1.Амортиз.нови активи'!$B$11:$B$58,$B122,'11.1.Амортиз.нови активи'!AE$11:AE$58))</f>
        <v>0</v>
      </c>
      <c r="Y122" s="895">
        <f>X122+SUMIF('11.1.Амортиз.нови активи'!$B$11:$B$58,$B122,'11.1.Амортиз.нови активи'!Y$11:Y$58)+('9.Инвестиционна програма'!K$79*SUMIF('11.1.Амортиз.нови активи'!$B$11:$B$58,$B122,'11.1.Амортиз.нови активи'!AF$11:AF$58))</f>
        <v>0</v>
      </c>
      <c r="Z122" s="1672"/>
      <c r="AA122" s="1703"/>
      <c r="AB122" s="1727"/>
    </row>
    <row r="123" spans="1:28" s="1643" customFormat="1">
      <c r="A123" s="1730">
        <v>13</v>
      </c>
      <c r="B123" s="1675">
        <v>2040204</v>
      </c>
      <c r="C123" s="1676">
        <v>0.02</v>
      </c>
      <c r="D123" s="1638" t="s">
        <v>591</v>
      </c>
      <c r="E123" s="2246">
        <v>0</v>
      </c>
      <c r="F123" s="893">
        <f>E123+SUMIF('11.1.Амортиз.нови активи'!$B$11:$B$58,$B123,'11.1.Амортиз.нови активи'!F$11:F$58)+('9.Инвестиционна програма'!F$77*SUMIF('11.1.Амортиз.нови активи'!$B$11:$B$58,$B123,'11.1.Амортиз.нови активи'!AA$11:AA$58))</f>
        <v>0</v>
      </c>
      <c r="G123" s="894">
        <f>F123+SUMIF('11.1.Амортиз.нови активи'!$B$11:$B$58,$B123,'11.1.Амортиз.нови активи'!G$11:G$58)+('9.Инвестиционна програма'!G$77*SUMIF('11.1.Амортиз.нови активи'!$B$11:$B$58,$B123,'11.1.Амортиз.нови активи'!AB$11:AB$58))</f>
        <v>10</v>
      </c>
      <c r="H123" s="894">
        <f>G123+SUMIF('11.1.Амортиз.нови активи'!$B$11:$B$58,$B123,'11.1.Амортиз.нови активи'!H$11:H$58)+('9.Инвестиционна програма'!H$77*SUMIF('11.1.Амортиз.нови активи'!$B$11:$B$58,$B123,'11.1.Амортиз.нови активи'!AC$11:AC$58))</f>
        <v>20</v>
      </c>
      <c r="I123" s="894">
        <f>H123+SUMIF('11.1.Амортиз.нови активи'!$B$11:$B$58,$B123,'11.1.Амортиз.нови активи'!I$11:I$58)+('9.Инвестиционна програма'!I$77*SUMIF('11.1.Амортиз.нови активи'!$B$11:$B$58,$B123,'11.1.Амортиз.нови активи'!AD$11:AD$58))</f>
        <v>30</v>
      </c>
      <c r="J123" s="894">
        <f>I123+SUMIF('11.1.Амортиз.нови активи'!$B$11:$B$58,$B123,'11.1.Амортиз.нови активи'!J$11:J$58)+('9.Инвестиционна програма'!J$77*SUMIF('11.1.Амортиз.нови активи'!$B$11:$B$58,$B123,'11.1.Амортиз.нови активи'!AE$11:AE$58))</f>
        <v>40</v>
      </c>
      <c r="K123" s="895">
        <f>J123+SUMIF('11.1.Амортиз.нови активи'!$B$11:$B$58,$B123,'11.1.Амортиз.нови активи'!K$11:K$58)+('9.Инвестиционна програма'!K$77*SUMIF('11.1.Амортиз.нови активи'!$B$11:$B$58,$B123,'11.1.Амортиз.нови активи'!AF$11:AF$58))</f>
        <v>50</v>
      </c>
      <c r="L123" s="2246">
        <v>0</v>
      </c>
      <c r="M123" s="893">
        <f>L123+SUMIF('11.1.Амортиз.нови активи'!$B$11:$B$58,$B123,'11.1.Амортиз.нови активи'!M$11:M$58)+('9.Инвестиционна програма'!F$78*SUMIF('11.1.Амортиз.нови активи'!$B$11:$B$58,$B123,'11.1.Амортиз.нови активи'!AA$11:AA$58))</f>
        <v>0</v>
      </c>
      <c r="N123" s="894">
        <f>M123+SUMIF('11.1.Амортиз.нови активи'!$B$11:$B$58,$B123,'11.1.Амортиз.нови активи'!N$11:N$58)+('9.Инвестиционна програма'!G$78*SUMIF('11.1.Амортиз.нови активи'!$B$11:$B$58,$B123,'11.1.Амортиз.нови активи'!AB$11:AB$58))</f>
        <v>0</v>
      </c>
      <c r="O123" s="894">
        <f>N123+SUMIF('11.1.Амортиз.нови активи'!$B$11:$B$58,$B123,'11.1.Амортиз.нови активи'!O$11:O$58)+('9.Инвестиционна програма'!H$78*SUMIF('11.1.Амортиз.нови активи'!$B$11:$B$58,$B123,'11.1.Амортиз.нови активи'!AC$11:AC$58))</f>
        <v>0</v>
      </c>
      <c r="P123" s="894">
        <f>O123+SUMIF('11.1.Амортиз.нови активи'!$B$11:$B$58,$B123,'11.1.Амортиз.нови активи'!P$11:P$58)+('9.Инвестиционна програма'!I$78*SUMIF('11.1.Амортиз.нови активи'!$B$11:$B$58,$B123,'11.1.Амортиз.нови активи'!AD$11:AD$58))</f>
        <v>0</v>
      </c>
      <c r="Q123" s="894">
        <f>P123+SUMIF('11.1.Амортиз.нови активи'!$B$11:$B$58,$B123,'11.1.Амортиз.нови активи'!Q$11:Q$58)+('9.Инвестиционна програма'!J$78*SUMIF('11.1.Амортиз.нови активи'!$B$11:$B$58,$B123,'11.1.Амортиз.нови активи'!AE$11:AE$58))</f>
        <v>0</v>
      </c>
      <c r="R123" s="895">
        <f>Q123+SUMIF('11.1.Амортиз.нови активи'!$B$11:$B$58,$B123,'11.1.Амортиз.нови активи'!R$11:R$58)+('9.Инвестиционна програма'!K$78*SUMIF('11.1.Амортиз.нови активи'!$B$11:$B$58,$B123,'11.1.Амортиз.нови активи'!AF$11:AF$58))</f>
        <v>0</v>
      </c>
      <c r="S123" s="2246">
        <v>0</v>
      </c>
      <c r="T123" s="893">
        <f>S123+SUMIF('11.1.Амортиз.нови активи'!$B$11:$B$58,$B123,'11.1.Амортиз.нови активи'!T$11:T$58)+('9.Инвестиционна програма'!F$79*SUMIF('11.1.Амортиз.нови активи'!$B$11:$B$58,$B123,'11.1.Амортиз.нови активи'!AA$11:AA$58))</f>
        <v>0</v>
      </c>
      <c r="U123" s="894">
        <f>T123+SUMIF('11.1.Амортиз.нови активи'!$B$11:$B$58,$B123,'11.1.Амортиз.нови активи'!U$11:U$58)+('9.Инвестиционна програма'!G$79*SUMIF('11.1.Амортиз.нови активи'!$B$11:$B$58,$B123,'11.1.Амортиз.нови активи'!AB$11:AB$58))</f>
        <v>0</v>
      </c>
      <c r="V123" s="894">
        <f>U123+SUMIF('11.1.Амортиз.нови активи'!$B$11:$B$58,$B123,'11.1.Амортиз.нови активи'!V$11:V$58)+('9.Инвестиционна програма'!H$79*SUMIF('11.1.Амортиз.нови активи'!$B$11:$B$58,$B123,'11.1.Амортиз.нови активи'!AC$11:AC$58))</f>
        <v>0</v>
      </c>
      <c r="W123" s="894">
        <f>V123+SUMIF('11.1.Амортиз.нови активи'!$B$11:$B$58,$B123,'11.1.Амортиз.нови активи'!W$11:W$58)+('9.Инвестиционна програма'!I$79*SUMIF('11.1.Амортиз.нови активи'!$B$11:$B$58,$B123,'11.1.Амортиз.нови активи'!AD$11:AD$58))</f>
        <v>0</v>
      </c>
      <c r="X123" s="894">
        <f>W123+SUMIF('11.1.Амортиз.нови активи'!$B$11:$B$58,$B123,'11.1.Амортиз.нови активи'!X$11:X$58)+('9.Инвестиционна програма'!J$79*SUMIF('11.1.Амортиз.нови активи'!$B$11:$B$58,$B123,'11.1.Амортиз.нови активи'!AE$11:AE$58))</f>
        <v>0</v>
      </c>
      <c r="Y123" s="895">
        <f>X123+SUMIF('11.1.Амортиз.нови активи'!$B$11:$B$58,$B123,'11.1.Амортиз.нови активи'!Y$11:Y$58)+('9.Инвестиционна програма'!K$79*SUMIF('11.1.Амортиз.нови активи'!$B$11:$B$58,$B123,'11.1.Амортиз.нови активи'!AF$11:AF$58))</f>
        <v>0</v>
      </c>
      <c r="Z123" s="1672"/>
      <c r="AA123" s="1703"/>
      <c r="AB123" s="1727"/>
    </row>
    <row r="124" spans="1:28" s="1643" customFormat="1">
      <c r="A124" s="1730">
        <v>14</v>
      </c>
      <c r="B124" s="1675">
        <v>2040205</v>
      </c>
      <c r="C124" s="1676">
        <v>0.02</v>
      </c>
      <c r="D124" s="1624" t="s">
        <v>592</v>
      </c>
      <c r="E124" s="2246">
        <v>0</v>
      </c>
      <c r="F124" s="893">
        <f>E124+SUMIF('11.1.Амортиз.нови активи'!$B$11:$B$58,$B124,'11.1.Амортиз.нови активи'!F$11:F$58)+('9.Инвестиционна програма'!F$77*SUMIF('11.1.Амортиз.нови активи'!$B$11:$B$58,$B124,'11.1.Амортиз.нови активи'!AA$11:AA$58))</f>
        <v>1076</v>
      </c>
      <c r="G124" s="894">
        <f>F124+SUMIF('11.1.Амортиз.нови активи'!$B$11:$B$58,$B124,'11.1.Амортиз.нови активи'!G$11:G$58)+('9.Инвестиционна програма'!G$77*SUMIF('11.1.Амортиз.нови активи'!$B$11:$B$58,$B124,'11.1.Амортиз.нови активи'!AB$11:AB$58))</f>
        <v>1556</v>
      </c>
      <c r="H124" s="894">
        <f>G124+SUMIF('11.1.Амортиз.нови активи'!$B$11:$B$58,$B124,'11.1.Амортиз.нови активи'!H$11:H$58)+('9.Инвестиционна програма'!H$77*SUMIF('11.1.Амортиз.нови активи'!$B$11:$B$58,$B124,'11.1.Амортиз.нови активи'!AC$11:AC$58))</f>
        <v>2016</v>
      </c>
      <c r="I124" s="894">
        <f>H124+SUMIF('11.1.Амортиз.нови активи'!$B$11:$B$58,$B124,'11.1.Амортиз.нови активи'!I$11:I$58)+('9.Инвестиционна програма'!I$77*SUMIF('11.1.Амортиз.нови активи'!$B$11:$B$58,$B124,'11.1.Амортиз.нови активи'!AD$11:AD$58))</f>
        <v>2406</v>
      </c>
      <c r="J124" s="894">
        <f>I124+SUMIF('11.1.Амортиз.нови активи'!$B$11:$B$58,$B124,'11.1.Амортиз.нови активи'!J$11:J$58)+('9.Инвестиционна програма'!J$77*SUMIF('11.1.Амортиз.нови активи'!$B$11:$B$58,$B124,'11.1.Амортиз.нови активи'!AE$11:AE$58))</f>
        <v>2856</v>
      </c>
      <c r="K124" s="895">
        <f>J124+SUMIF('11.1.Амортиз.нови активи'!$B$11:$B$58,$B124,'11.1.Амортиз.нови активи'!K$11:K$58)+('9.Инвестиционна програма'!K$77*SUMIF('11.1.Амортиз.нови активи'!$B$11:$B$58,$B124,'11.1.Амортиз.нови активи'!AF$11:AF$58))</f>
        <v>3256</v>
      </c>
      <c r="L124" s="2246">
        <v>0</v>
      </c>
      <c r="M124" s="893">
        <f>L124+SUMIF('11.1.Амортиз.нови активи'!$B$11:$B$58,$B124,'11.1.Амортиз.нови активи'!M$11:M$58)+('9.Инвестиционна програма'!F$78*SUMIF('11.1.Амортиз.нови активи'!$B$11:$B$58,$B124,'11.1.Амортиз.нови активи'!AA$11:AA$58))</f>
        <v>0</v>
      </c>
      <c r="N124" s="894">
        <f>M124+SUMIF('11.1.Амортиз.нови активи'!$B$11:$B$58,$B124,'11.1.Амортиз.нови активи'!N$11:N$58)+('9.Инвестиционна програма'!G$78*SUMIF('11.1.Амортиз.нови активи'!$B$11:$B$58,$B124,'11.1.Амортиз.нови активи'!AB$11:AB$58))</f>
        <v>0</v>
      </c>
      <c r="O124" s="894">
        <f>N124+SUMIF('11.1.Амортиз.нови активи'!$B$11:$B$58,$B124,'11.1.Амортиз.нови активи'!O$11:O$58)+('9.Инвестиционна програма'!H$78*SUMIF('11.1.Амортиз.нови активи'!$B$11:$B$58,$B124,'11.1.Амортиз.нови активи'!AC$11:AC$58))</f>
        <v>0</v>
      </c>
      <c r="P124" s="894">
        <f>O124+SUMIF('11.1.Амортиз.нови активи'!$B$11:$B$58,$B124,'11.1.Амортиз.нови активи'!P$11:P$58)+('9.Инвестиционна програма'!I$78*SUMIF('11.1.Амортиз.нови активи'!$B$11:$B$58,$B124,'11.1.Амортиз.нови активи'!AD$11:AD$58))</f>
        <v>0</v>
      </c>
      <c r="Q124" s="894">
        <f>P124+SUMIF('11.1.Амортиз.нови активи'!$B$11:$B$58,$B124,'11.1.Амортиз.нови активи'!Q$11:Q$58)+('9.Инвестиционна програма'!J$78*SUMIF('11.1.Амортиз.нови активи'!$B$11:$B$58,$B124,'11.1.Амортиз.нови активи'!AE$11:AE$58))</f>
        <v>0</v>
      </c>
      <c r="R124" s="895">
        <f>Q124+SUMIF('11.1.Амортиз.нови активи'!$B$11:$B$58,$B124,'11.1.Амортиз.нови активи'!R$11:R$58)+('9.Инвестиционна програма'!K$78*SUMIF('11.1.Амортиз.нови активи'!$B$11:$B$58,$B124,'11.1.Амортиз.нови активи'!AF$11:AF$58))</f>
        <v>0</v>
      </c>
      <c r="S124" s="2246">
        <v>0</v>
      </c>
      <c r="T124" s="893">
        <f>S124+SUMIF('11.1.Амортиз.нови активи'!$B$11:$B$58,$B124,'11.1.Амортиз.нови активи'!T$11:T$58)+('9.Инвестиционна програма'!F$79*SUMIF('11.1.Амортиз.нови активи'!$B$11:$B$58,$B124,'11.1.Амортиз.нови активи'!AA$11:AA$58))</f>
        <v>0</v>
      </c>
      <c r="U124" s="894">
        <f>T124+SUMIF('11.1.Амортиз.нови активи'!$B$11:$B$58,$B124,'11.1.Амортиз.нови активи'!U$11:U$58)+('9.Инвестиционна програма'!G$79*SUMIF('11.1.Амортиз.нови активи'!$B$11:$B$58,$B124,'11.1.Амортиз.нови активи'!AB$11:AB$58))</f>
        <v>0</v>
      </c>
      <c r="V124" s="894">
        <f>U124+SUMIF('11.1.Амортиз.нови активи'!$B$11:$B$58,$B124,'11.1.Амортиз.нови активи'!V$11:V$58)+('9.Инвестиционна програма'!H$79*SUMIF('11.1.Амортиз.нови активи'!$B$11:$B$58,$B124,'11.1.Амортиз.нови активи'!AC$11:AC$58))</f>
        <v>0</v>
      </c>
      <c r="W124" s="894">
        <f>V124+SUMIF('11.1.Амортиз.нови активи'!$B$11:$B$58,$B124,'11.1.Амортиз.нови активи'!W$11:W$58)+('9.Инвестиционна програма'!I$79*SUMIF('11.1.Амортиз.нови активи'!$B$11:$B$58,$B124,'11.1.Амортиз.нови активи'!AD$11:AD$58))</f>
        <v>0</v>
      </c>
      <c r="X124" s="894">
        <f>W124+SUMIF('11.1.Амортиз.нови активи'!$B$11:$B$58,$B124,'11.1.Амортиз.нови активи'!X$11:X$58)+('9.Инвестиционна програма'!J$79*SUMIF('11.1.Амортиз.нови активи'!$B$11:$B$58,$B124,'11.1.Амортиз.нови активи'!AE$11:AE$58))</f>
        <v>0</v>
      </c>
      <c r="Y124" s="895">
        <f>X124+SUMIF('11.1.Амортиз.нови активи'!$B$11:$B$58,$B124,'11.1.Амортиз.нови активи'!Y$11:Y$58)+('9.Инвестиционна програма'!K$79*SUMIF('11.1.Амортиз.нови активи'!$B$11:$B$58,$B124,'11.1.Амортиз.нови активи'!AF$11:AF$58))</f>
        <v>0</v>
      </c>
      <c r="Z124" s="1672"/>
      <c r="AA124" s="1703"/>
      <c r="AB124" s="1727"/>
    </row>
    <row r="125" spans="1:28" s="1643" customFormat="1">
      <c r="A125" s="1730">
        <v>15</v>
      </c>
      <c r="B125" s="1675">
        <v>2040206</v>
      </c>
      <c r="C125" s="1676">
        <v>0.02</v>
      </c>
      <c r="D125" s="1626" t="s">
        <v>593</v>
      </c>
      <c r="E125" s="2246">
        <v>0</v>
      </c>
      <c r="F125" s="893">
        <f>E125+SUMIF('11.1.Амортиз.нови активи'!$B$11:$B$58,$B125,'11.1.Амортиз.нови активи'!F$11:F$58)+('9.Инвестиционна програма'!F$77*SUMIF('11.1.Амортиз.нови активи'!$B$11:$B$58,$B125,'11.1.Амортиз.нови активи'!AA$11:AA$58))</f>
        <v>0</v>
      </c>
      <c r="G125" s="894">
        <f>F125+SUMIF('11.1.Амортиз.нови активи'!$B$11:$B$58,$B125,'11.1.Амортиз.нови активи'!G$11:G$58)+('9.Инвестиционна програма'!G$77*SUMIF('11.1.Амортиз.нови активи'!$B$11:$B$58,$B125,'11.1.Амортиз.нови активи'!AB$11:AB$58))</f>
        <v>0</v>
      </c>
      <c r="H125" s="894">
        <f>G125+SUMIF('11.1.Амортиз.нови активи'!$B$11:$B$58,$B125,'11.1.Амортиз.нови активи'!H$11:H$58)+('9.Инвестиционна програма'!H$77*SUMIF('11.1.Амортиз.нови активи'!$B$11:$B$58,$B125,'11.1.Амортиз.нови активи'!AC$11:AC$58))</f>
        <v>0</v>
      </c>
      <c r="I125" s="894">
        <f>H125+SUMIF('11.1.Амортиз.нови активи'!$B$11:$B$58,$B125,'11.1.Амортиз.нови активи'!I$11:I$58)+('9.Инвестиционна програма'!I$77*SUMIF('11.1.Амортиз.нови активи'!$B$11:$B$58,$B125,'11.1.Амортиз.нови активи'!AD$11:AD$58))</f>
        <v>0</v>
      </c>
      <c r="J125" s="894">
        <f>I125+SUMIF('11.1.Амортиз.нови активи'!$B$11:$B$58,$B125,'11.1.Амортиз.нови активи'!J$11:J$58)+('9.Инвестиционна програма'!J$77*SUMIF('11.1.Амортиз.нови активи'!$B$11:$B$58,$B125,'11.1.Амортиз.нови активи'!AE$11:AE$58))</f>
        <v>0</v>
      </c>
      <c r="K125" s="895">
        <f>J125+SUMIF('11.1.Амортиз.нови активи'!$B$11:$B$58,$B125,'11.1.Амортиз.нови активи'!K$11:K$58)+('9.Инвестиционна програма'!K$77*SUMIF('11.1.Амортиз.нови активи'!$B$11:$B$58,$B125,'11.1.Амортиз.нови активи'!AF$11:AF$58))</f>
        <v>0</v>
      </c>
      <c r="L125" s="2246">
        <v>0</v>
      </c>
      <c r="M125" s="893">
        <f>L125+SUMIF('11.1.Амортиз.нови активи'!$B$11:$B$58,$B125,'11.1.Амортиз.нови активи'!M$11:M$58)+('9.Инвестиционна програма'!F$78*SUMIF('11.1.Амортиз.нови активи'!$B$11:$B$58,$B125,'11.1.Амортиз.нови активи'!AA$11:AA$58))</f>
        <v>55</v>
      </c>
      <c r="N125" s="894">
        <f>M125+SUMIF('11.1.Амортиз.нови активи'!$B$11:$B$58,$B125,'11.1.Амортиз.нови активи'!N$11:N$58)+('9.Инвестиционна програма'!G$78*SUMIF('11.1.Амортиз.нови активи'!$B$11:$B$58,$B125,'11.1.Амортиз.нови активи'!AB$11:AB$58))</f>
        <v>98</v>
      </c>
      <c r="O125" s="894">
        <f>N125+SUMIF('11.1.Амортиз.нови активи'!$B$11:$B$58,$B125,'11.1.Амортиз.нови активи'!O$11:O$58)+('9.Инвестиционна програма'!H$78*SUMIF('11.1.Амортиз.нови активи'!$B$11:$B$58,$B125,'11.1.Амортиз.нови активи'!AC$11:AC$58))</f>
        <v>136</v>
      </c>
      <c r="P125" s="894">
        <f>O125+SUMIF('11.1.Амортиз.нови активи'!$B$11:$B$58,$B125,'11.1.Амортиз.нови активи'!P$11:P$58)+('9.Инвестиционна програма'!I$78*SUMIF('11.1.Амортиз.нови активи'!$B$11:$B$58,$B125,'11.1.Амортиз.нови активи'!AD$11:AD$58))</f>
        <v>208</v>
      </c>
      <c r="Q125" s="894">
        <f>P125+SUMIF('11.1.Амортиз.нови активи'!$B$11:$B$58,$B125,'11.1.Амортиз.нови активи'!Q$11:Q$58)+('9.Инвестиционна програма'!J$78*SUMIF('11.1.Амортиз.нови активи'!$B$11:$B$58,$B125,'11.1.Амортиз.нови активи'!AE$11:AE$58))</f>
        <v>269</v>
      </c>
      <c r="R125" s="895">
        <f>Q125+SUMIF('11.1.Амортиз.нови активи'!$B$11:$B$58,$B125,'11.1.Амортиз.нови активи'!R$11:R$58)+('9.Инвестиционна програма'!K$78*SUMIF('11.1.Амортиз.нови активи'!$B$11:$B$58,$B125,'11.1.Амортиз.нови активи'!AF$11:AF$58))</f>
        <v>312</v>
      </c>
      <c r="S125" s="2246">
        <v>0</v>
      </c>
      <c r="T125" s="893">
        <f>S125+SUMIF('11.1.Амортиз.нови активи'!$B$11:$B$58,$B125,'11.1.Амортиз.нови активи'!T$11:T$58)+('9.Инвестиционна програма'!F$79*SUMIF('11.1.Амортиз.нови активи'!$B$11:$B$58,$B125,'11.1.Амортиз.нови активи'!AA$11:AA$58))</f>
        <v>0</v>
      </c>
      <c r="U125" s="894">
        <f>T125+SUMIF('11.1.Амортиз.нови активи'!$B$11:$B$58,$B125,'11.1.Амортиз.нови активи'!U$11:U$58)+('9.Инвестиционна програма'!G$79*SUMIF('11.1.Амортиз.нови активи'!$B$11:$B$58,$B125,'11.1.Амортиз.нови активи'!AB$11:AB$58))</f>
        <v>0</v>
      </c>
      <c r="V125" s="894">
        <f>U125+SUMIF('11.1.Амортиз.нови активи'!$B$11:$B$58,$B125,'11.1.Амортиз.нови активи'!V$11:V$58)+('9.Инвестиционна програма'!H$79*SUMIF('11.1.Амортиз.нови активи'!$B$11:$B$58,$B125,'11.1.Амортиз.нови активи'!AC$11:AC$58))</f>
        <v>0</v>
      </c>
      <c r="W125" s="894">
        <f>V125+SUMIF('11.1.Амортиз.нови активи'!$B$11:$B$58,$B125,'11.1.Амортиз.нови активи'!W$11:W$58)+('9.Инвестиционна програма'!I$79*SUMIF('11.1.Амортиз.нови активи'!$B$11:$B$58,$B125,'11.1.Амортиз.нови активи'!AD$11:AD$58))</f>
        <v>0</v>
      </c>
      <c r="X125" s="894">
        <f>W125+SUMIF('11.1.Амортиз.нови активи'!$B$11:$B$58,$B125,'11.1.Амортиз.нови активи'!X$11:X$58)+('9.Инвестиционна програма'!J$79*SUMIF('11.1.Амортиз.нови активи'!$B$11:$B$58,$B125,'11.1.Амортиз.нови активи'!AE$11:AE$58))</f>
        <v>0</v>
      </c>
      <c r="Y125" s="895">
        <f>X125+SUMIF('11.1.Амортиз.нови активи'!$B$11:$B$58,$B125,'11.1.Амортиз.нови активи'!Y$11:Y$58)+('9.Инвестиционна програма'!K$79*SUMIF('11.1.Амортиз.нови активи'!$B$11:$B$58,$B125,'11.1.Амортиз.нови активи'!AF$11:AF$58))</f>
        <v>0</v>
      </c>
      <c r="Z125" s="1672"/>
      <c r="AA125" s="1703"/>
      <c r="AB125" s="1727"/>
    </row>
    <row r="126" spans="1:28" s="1643" customFormat="1" ht="24">
      <c r="A126" s="1730">
        <v>16</v>
      </c>
      <c r="B126" s="1675">
        <v>2040207</v>
      </c>
      <c r="C126" s="1676">
        <v>0.04</v>
      </c>
      <c r="D126" s="1626" t="s">
        <v>594</v>
      </c>
      <c r="E126" s="2246">
        <v>0</v>
      </c>
      <c r="F126" s="893">
        <f>E126+SUMIF('11.1.Амортиз.нови активи'!$B$11:$B$58,$B126,'11.1.Амортиз.нови активи'!F$11:F$58)+('9.Инвестиционна програма'!F$77*SUMIF('11.1.Амортиз.нови активи'!$B$11:$B$58,$B126,'11.1.Амортиз.нови активи'!AA$11:AA$58))</f>
        <v>277</v>
      </c>
      <c r="G126" s="894">
        <f>F126+SUMIF('11.1.Амортиз.нови активи'!$B$11:$B$58,$B126,'11.1.Амортиз.нови активи'!G$11:G$58)+('9.Инвестиционна програма'!G$77*SUMIF('11.1.Амортиз.нови активи'!$B$11:$B$58,$B126,'11.1.Амортиз.нови активи'!AB$11:AB$58))</f>
        <v>377</v>
      </c>
      <c r="H126" s="894">
        <f>G126+SUMIF('11.1.Амортиз.нови активи'!$B$11:$B$58,$B126,'11.1.Амортиз.нови активи'!H$11:H$58)+('9.Инвестиционна програма'!H$77*SUMIF('11.1.Амортиз.нови активи'!$B$11:$B$58,$B126,'11.1.Амортиз.нови активи'!AC$11:AC$58))</f>
        <v>472</v>
      </c>
      <c r="I126" s="894">
        <f>H126+SUMIF('11.1.Амортиз.нови активи'!$B$11:$B$58,$B126,'11.1.Амортиз.нови активи'!I$11:I$58)+('9.Инвестиционна програма'!I$77*SUMIF('11.1.Амортиз.нови активи'!$B$11:$B$58,$B126,'11.1.Амортиз.нови активи'!AD$11:AD$58))</f>
        <v>572</v>
      </c>
      <c r="J126" s="894">
        <f>I126+SUMIF('11.1.Амортиз.нови активи'!$B$11:$B$58,$B126,'11.1.Амортиз.нови активи'!J$11:J$58)+('9.Инвестиционна програма'!J$77*SUMIF('11.1.Амортиз.нови активи'!$B$11:$B$58,$B126,'11.1.Амортиз.нови активи'!AE$11:AE$58))</f>
        <v>662</v>
      </c>
      <c r="K126" s="895">
        <f>J126+SUMIF('11.1.Амортиз.нови активи'!$B$11:$B$58,$B126,'11.1.Амортиз.нови активи'!K$11:K$58)+('9.Инвестиционна програма'!K$77*SUMIF('11.1.Амортиз.нови активи'!$B$11:$B$58,$B126,'11.1.Амортиз.нови активи'!AF$11:AF$58))</f>
        <v>747</v>
      </c>
      <c r="L126" s="2246">
        <v>0</v>
      </c>
      <c r="M126" s="893">
        <f>L126+SUMIF('11.1.Амортиз.нови активи'!$B$11:$B$58,$B126,'11.1.Амортиз.нови активи'!M$11:M$58)+('9.Инвестиционна програма'!F$78*SUMIF('11.1.Амортиз.нови активи'!$B$11:$B$58,$B126,'11.1.Амортиз.нови активи'!AA$11:AA$58))</f>
        <v>0</v>
      </c>
      <c r="N126" s="894">
        <f>M126+SUMIF('11.1.Амортиз.нови активи'!$B$11:$B$58,$B126,'11.1.Амортиз.нови активи'!N$11:N$58)+('9.Инвестиционна програма'!G$78*SUMIF('11.1.Амортиз.нови активи'!$B$11:$B$58,$B126,'11.1.Амортиз.нови активи'!AB$11:AB$58))</f>
        <v>0</v>
      </c>
      <c r="O126" s="894">
        <f>N126+SUMIF('11.1.Амортиз.нови активи'!$B$11:$B$58,$B126,'11.1.Амортиз.нови активи'!O$11:O$58)+('9.Инвестиционна програма'!H$78*SUMIF('11.1.Амортиз.нови активи'!$B$11:$B$58,$B126,'11.1.Амортиз.нови активи'!AC$11:AC$58))</f>
        <v>0</v>
      </c>
      <c r="P126" s="894">
        <f>O126+SUMIF('11.1.Амортиз.нови активи'!$B$11:$B$58,$B126,'11.1.Амортиз.нови активи'!P$11:P$58)+('9.Инвестиционна програма'!I$78*SUMIF('11.1.Амортиз.нови активи'!$B$11:$B$58,$B126,'11.1.Амортиз.нови активи'!AD$11:AD$58))</f>
        <v>0</v>
      </c>
      <c r="Q126" s="894">
        <f>P126+SUMIF('11.1.Амортиз.нови активи'!$B$11:$B$58,$B126,'11.1.Амортиз.нови активи'!Q$11:Q$58)+('9.Инвестиционна програма'!J$78*SUMIF('11.1.Амортиз.нови активи'!$B$11:$B$58,$B126,'11.1.Амортиз.нови активи'!AE$11:AE$58))</f>
        <v>0</v>
      </c>
      <c r="R126" s="895">
        <f>Q126+SUMIF('11.1.Амортиз.нови активи'!$B$11:$B$58,$B126,'11.1.Амортиз.нови активи'!R$11:R$58)+('9.Инвестиционна програма'!K$78*SUMIF('11.1.Амортиз.нови активи'!$B$11:$B$58,$B126,'11.1.Амортиз.нови активи'!AF$11:AF$58))</f>
        <v>0</v>
      </c>
      <c r="S126" s="2246">
        <v>0</v>
      </c>
      <c r="T126" s="893">
        <f>S126+SUMIF('11.1.Амортиз.нови активи'!$B$11:$B$58,$B126,'11.1.Амортиз.нови активи'!T$11:T$58)+('9.Инвестиционна програма'!F$79*SUMIF('11.1.Амортиз.нови активи'!$B$11:$B$58,$B126,'11.1.Амортиз.нови активи'!AA$11:AA$58))</f>
        <v>0</v>
      </c>
      <c r="U126" s="894">
        <f>T126+SUMIF('11.1.Амортиз.нови активи'!$B$11:$B$58,$B126,'11.1.Амортиз.нови активи'!U$11:U$58)+('9.Инвестиционна програма'!G$79*SUMIF('11.1.Амортиз.нови активи'!$B$11:$B$58,$B126,'11.1.Амортиз.нови активи'!AB$11:AB$58))</f>
        <v>39</v>
      </c>
      <c r="V126" s="894">
        <f>U126+SUMIF('11.1.Амортиз.нови активи'!$B$11:$B$58,$B126,'11.1.Амортиз.нови активи'!V$11:V$58)+('9.Инвестиционна програма'!H$79*SUMIF('11.1.Амортиз.нови активи'!$B$11:$B$58,$B126,'11.1.Амортиз.нови активи'!AC$11:AC$58))</f>
        <v>73</v>
      </c>
      <c r="W126" s="894">
        <f>V126+SUMIF('11.1.Амортиз.нови активи'!$B$11:$B$58,$B126,'11.1.Амортиз.нови активи'!W$11:W$58)+('9.Инвестиционна програма'!I$79*SUMIF('11.1.Амортиз.нови активи'!$B$11:$B$58,$B126,'11.1.Амортиз.нови активи'!AD$11:AD$58))</f>
        <v>119</v>
      </c>
      <c r="X126" s="894">
        <f>W126+SUMIF('11.1.Амортиз.нови активи'!$B$11:$B$58,$B126,'11.1.Амортиз.нови активи'!X$11:X$58)+('9.Инвестиционна програма'!J$79*SUMIF('11.1.Амортиз.нови активи'!$B$11:$B$58,$B126,'11.1.Амортиз.нови активи'!AE$11:AE$58))</f>
        <v>150</v>
      </c>
      <c r="Y126" s="895">
        <f>X126+SUMIF('11.1.Амортиз.нови активи'!$B$11:$B$58,$B126,'11.1.Амортиз.нови активи'!Y$11:Y$58)+('9.Инвестиционна програма'!K$79*SUMIF('11.1.Амортиз.нови активи'!$B$11:$B$58,$B126,'11.1.Амортиз.нови активи'!AF$11:AF$58))</f>
        <v>191</v>
      </c>
      <c r="Z126" s="1672"/>
      <c r="AA126" s="1703"/>
      <c r="AB126" s="1727"/>
    </row>
    <row r="127" spans="1:28" s="1643" customFormat="1">
      <c r="A127" s="1730">
        <v>17</v>
      </c>
      <c r="B127" s="1675">
        <v>2040208</v>
      </c>
      <c r="C127" s="1676">
        <v>0.04</v>
      </c>
      <c r="D127" s="1626" t="s">
        <v>595</v>
      </c>
      <c r="E127" s="2246">
        <v>0</v>
      </c>
      <c r="F127" s="893">
        <f>E127+SUMIF('11.1.Амортиз.нови активи'!$B$11:$B$58,$B127,'11.1.Амортиз.нови активи'!F$11:F$58)+('9.Инвестиционна програма'!F$77*SUMIF('11.1.Амортиз.нови активи'!$B$11:$B$58,$B127,'11.1.Амортиз.нови активи'!AA$11:AA$58))</f>
        <v>0</v>
      </c>
      <c r="G127" s="894">
        <f>F127+SUMIF('11.1.Амортиз.нови активи'!$B$11:$B$58,$B127,'11.1.Амортиз.нови активи'!G$11:G$58)+('9.Инвестиционна програма'!G$77*SUMIF('11.1.Амортиз.нови активи'!$B$11:$B$58,$B127,'11.1.Амортиз.нови активи'!AB$11:AB$58))</f>
        <v>0</v>
      </c>
      <c r="H127" s="894">
        <f>G127+SUMIF('11.1.Амортиз.нови активи'!$B$11:$B$58,$B127,'11.1.Амортиз.нови активи'!H$11:H$58)+('9.Инвестиционна програма'!H$77*SUMIF('11.1.Амортиз.нови активи'!$B$11:$B$58,$B127,'11.1.Амортиз.нови активи'!AC$11:AC$58))</f>
        <v>0</v>
      </c>
      <c r="I127" s="894">
        <f>H127+SUMIF('11.1.Амортиз.нови активи'!$B$11:$B$58,$B127,'11.1.Амортиз.нови активи'!I$11:I$58)+('9.Инвестиционна програма'!I$77*SUMIF('11.1.Амортиз.нови активи'!$B$11:$B$58,$B127,'11.1.Амортиз.нови активи'!AD$11:AD$58))</f>
        <v>0</v>
      </c>
      <c r="J127" s="894">
        <f>I127+SUMIF('11.1.Амортиз.нови активи'!$B$11:$B$58,$B127,'11.1.Амортиз.нови активи'!J$11:J$58)+('9.Инвестиционна програма'!J$77*SUMIF('11.1.Амортиз.нови активи'!$B$11:$B$58,$B127,'11.1.Амортиз.нови активи'!AE$11:AE$58))</f>
        <v>0</v>
      </c>
      <c r="K127" s="895">
        <f>J127+SUMIF('11.1.Амортиз.нови активи'!$B$11:$B$58,$B127,'11.1.Амортиз.нови активи'!K$11:K$58)+('9.Инвестиционна програма'!K$77*SUMIF('11.1.Амортиз.нови активи'!$B$11:$B$58,$B127,'11.1.Амортиз.нови активи'!AF$11:AF$58))</f>
        <v>0</v>
      </c>
      <c r="L127" s="2246">
        <v>0</v>
      </c>
      <c r="M127" s="893">
        <f>L127+SUMIF('11.1.Амортиз.нови активи'!$B$11:$B$58,$B127,'11.1.Амортиз.нови активи'!M$11:M$58)+('9.Инвестиционна програма'!F$78*SUMIF('11.1.Амортиз.нови активи'!$B$11:$B$58,$B127,'11.1.Амортиз.нови активи'!AA$11:AA$58))</f>
        <v>0</v>
      </c>
      <c r="N127" s="894">
        <f>M127+SUMIF('11.1.Амортиз.нови активи'!$B$11:$B$58,$B127,'11.1.Амортиз.нови активи'!N$11:N$58)+('9.Инвестиционна програма'!G$78*SUMIF('11.1.Амортиз.нови активи'!$B$11:$B$58,$B127,'11.1.Амортиз.нови активи'!AB$11:AB$58))</f>
        <v>0</v>
      </c>
      <c r="O127" s="894">
        <f>N127+SUMIF('11.1.Амортиз.нови активи'!$B$11:$B$58,$B127,'11.1.Амортиз.нови активи'!O$11:O$58)+('9.Инвестиционна програма'!H$78*SUMIF('11.1.Амортиз.нови активи'!$B$11:$B$58,$B127,'11.1.Амортиз.нови активи'!AC$11:AC$58))</f>
        <v>0</v>
      </c>
      <c r="P127" s="894">
        <f>O127+SUMIF('11.1.Амортиз.нови активи'!$B$11:$B$58,$B127,'11.1.Амортиз.нови активи'!P$11:P$58)+('9.Инвестиционна програма'!I$78*SUMIF('11.1.Амортиз.нови активи'!$B$11:$B$58,$B127,'11.1.Амортиз.нови активи'!AD$11:AD$58))</f>
        <v>0</v>
      </c>
      <c r="Q127" s="894">
        <f>P127+SUMIF('11.1.Амортиз.нови активи'!$B$11:$B$58,$B127,'11.1.Амортиз.нови активи'!Q$11:Q$58)+('9.Инвестиционна програма'!J$78*SUMIF('11.1.Амортиз.нови активи'!$B$11:$B$58,$B127,'11.1.Амортиз.нови активи'!AE$11:AE$58))</f>
        <v>0</v>
      </c>
      <c r="R127" s="895">
        <f>Q127+SUMIF('11.1.Амортиз.нови активи'!$B$11:$B$58,$B127,'11.1.Амортиз.нови активи'!R$11:R$58)+('9.Инвестиционна програма'!K$78*SUMIF('11.1.Амортиз.нови активи'!$B$11:$B$58,$B127,'11.1.Амортиз.нови активи'!AF$11:AF$58))</f>
        <v>0</v>
      </c>
      <c r="S127" s="2246">
        <v>0</v>
      </c>
      <c r="T127" s="893">
        <f>S127+SUMIF('11.1.Амортиз.нови активи'!$B$11:$B$58,$B127,'11.1.Амортиз.нови активи'!T$11:T$58)+('9.Инвестиционна програма'!F$79*SUMIF('11.1.Амортиз.нови активи'!$B$11:$B$58,$B127,'11.1.Амортиз.нови активи'!AA$11:AA$58))</f>
        <v>0</v>
      </c>
      <c r="U127" s="894">
        <f>T127+SUMIF('11.1.Амортиз.нови активи'!$B$11:$B$58,$B127,'11.1.Амортиз.нови активи'!U$11:U$58)+('9.Инвестиционна програма'!G$79*SUMIF('11.1.Амортиз.нови активи'!$B$11:$B$58,$B127,'11.1.Амортиз.нови активи'!AB$11:AB$58))</f>
        <v>0</v>
      </c>
      <c r="V127" s="894">
        <f>U127+SUMIF('11.1.Амортиз.нови активи'!$B$11:$B$58,$B127,'11.1.Амортиз.нови активи'!V$11:V$58)+('9.Инвестиционна програма'!H$79*SUMIF('11.1.Амортиз.нови активи'!$B$11:$B$58,$B127,'11.1.Амортиз.нови активи'!AC$11:AC$58))</f>
        <v>0</v>
      </c>
      <c r="W127" s="894">
        <f>V127+SUMIF('11.1.Амортиз.нови активи'!$B$11:$B$58,$B127,'11.1.Амортиз.нови активи'!W$11:W$58)+('9.Инвестиционна програма'!I$79*SUMIF('11.1.Амортиз.нови активи'!$B$11:$B$58,$B127,'11.1.Амортиз.нови активи'!AD$11:AD$58))</f>
        <v>0</v>
      </c>
      <c r="X127" s="894">
        <f>W127+SUMIF('11.1.Амортиз.нови активи'!$B$11:$B$58,$B127,'11.1.Амортиз.нови активи'!X$11:X$58)+('9.Инвестиционна програма'!J$79*SUMIF('11.1.Амортиз.нови активи'!$B$11:$B$58,$B127,'11.1.Амортиз.нови активи'!AE$11:AE$58))</f>
        <v>0</v>
      </c>
      <c r="Y127" s="895">
        <f>X127+SUMIF('11.1.Амортиз.нови активи'!$B$11:$B$58,$B127,'11.1.Амортиз.нови активи'!Y$11:Y$58)+('9.Инвестиционна програма'!K$79*SUMIF('11.1.Амортиз.нови активи'!$B$11:$B$58,$B127,'11.1.Амортиз.нови активи'!AF$11:AF$58))</f>
        <v>0</v>
      </c>
      <c r="Z127" s="1672"/>
      <c r="AA127" s="1703"/>
      <c r="AB127" s="1727"/>
    </row>
    <row r="128" spans="1:28" s="1643" customFormat="1">
      <c r="A128" s="1730">
        <v>18</v>
      </c>
      <c r="B128" s="1833" t="s">
        <v>1525</v>
      </c>
      <c r="C128" s="1676">
        <v>0.04</v>
      </c>
      <c r="D128" s="1728" t="s">
        <v>606</v>
      </c>
      <c r="E128" s="2246">
        <v>0</v>
      </c>
      <c r="F128" s="893">
        <f>E128+SUMIF('11.1.Амортиз.нови активи'!$B$11:$B$58,$B128,'11.1.Амортиз.нови активи'!F$11:F$58)+('9.Инвестиционна програма'!F$77*SUMIF('11.1.Амортиз.нови активи'!$B$11:$B$58,$B128,'11.1.Амортиз.нови активи'!AA$11:AA$58))</f>
        <v>0</v>
      </c>
      <c r="G128" s="894">
        <f>F128+SUMIF('11.1.Амортиз.нови активи'!$B$11:$B$58,$B128,'11.1.Амортиз.нови активи'!G$11:G$58)+('9.Инвестиционна програма'!G$77*SUMIF('11.1.Амортиз.нови активи'!$B$11:$B$58,$B128,'11.1.Амортиз.нови активи'!AB$11:AB$58))</f>
        <v>0</v>
      </c>
      <c r="H128" s="894">
        <f>G128+SUMIF('11.1.Амортиз.нови активи'!$B$11:$B$58,$B128,'11.1.Амортиз.нови активи'!H$11:H$58)+('9.Инвестиционна програма'!H$77*SUMIF('11.1.Амортиз.нови активи'!$B$11:$B$58,$B128,'11.1.Амортиз.нови активи'!AC$11:AC$58))</f>
        <v>0</v>
      </c>
      <c r="I128" s="894">
        <f>H128+SUMIF('11.1.Амортиз.нови активи'!$B$11:$B$58,$B128,'11.1.Амортиз.нови активи'!I$11:I$58)+('9.Инвестиционна програма'!I$77*SUMIF('11.1.Амортиз.нови активи'!$B$11:$B$58,$B128,'11.1.Амортиз.нови активи'!AD$11:AD$58))</f>
        <v>0</v>
      </c>
      <c r="J128" s="894">
        <f>I128+SUMIF('11.1.Амортиз.нови активи'!$B$11:$B$58,$B128,'11.1.Амортиз.нови активи'!J$11:J$58)+('9.Инвестиционна програма'!J$77*SUMIF('11.1.Амортиз.нови активи'!$B$11:$B$58,$B128,'11.1.Амортиз.нови активи'!AE$11:AE$58))</f>
        <v>0</v>
      </c>
      <c r="K128" s="895">
        <f>J128+SUMIF('11.1.Амортиз.нови активи'!$B$11:$B$58,$B128,'11.1.Амортиз.нови активи'!K$11:K$58)+('9.Инвестиционна програма'!K$77*SUMIF('11.1.Амортиз.нови активи'!$B$11:$B$58,$B128,'11.1.Амортиз.нови активи'!AF$11:AF$58))</f>
        <v>0</v>
      </c>
      <c r="L128" s="2246">
        <v>0</v>
      </c>
      <c r="M128" s="893">
        <f>L128+SUMIF('11.1.Амортиз.нови активи'!$B$11:$B$58,$B128,'11.1.Амортиз.нови активи'!M$11:M$58)+('9.Инвестиционна програма'!F$78*SUMIF('11.1.Амортиз.нови активи'!$B$11:$B$58,$B128,'11.1.Амортиз.нови активи'!AA$11:AA$58))</f>
        <v>0</v>
      </c>
      <c r="N128" s="894">
        <f>M128+SUMIF('11.1.Амортиз.нови активи'!$B$11:$B$58,$B128,'11.1.Амортиз.нови активи'!N$11:N$58)+('9.Инвестиционна програма'!G$78*SUMIF('11.1.Амортиз.нови активи'!$B$11:$B$58,$B128,'11.1.Амортиз.нови активи'!AB$11:AB$58))</f>
        <v>0</v>
      </c>
      <c r="O128" s="894">
        <f>N128+SUMIF('11.1.Амортиз.нови активи'!$B$11:$B$58,$B128,'11.1.Амортиз.нови активи'!O$11:O$58)+('9.Инвестиционна програма'!H$78*SUMIF('11.1.Амортиз.нови активи'!$B$11:$B$58,$B128,'11.1.Амортиз.нови активи'!AC$11:AC$58))</f>
        <v>0</v>
      </c>
      <c r="P128" s="894">
        <f>O128+SUMIF('11.1.Амортиз.нови активи'!$B$11:$B$58,$B128,'11.1.Амортиз.нови активи'!P$11:P$58)+('9.Инвестиционна програма'!I$78*SUMIF('11.1.Амортиз.нови активи'!$B$11:$B$58,$B128,'11.1.Амортиз.нови активи'!AD$11:AD$58))</f>
        <v>0</v>
      </c>
      <c r="Q128" s="894">
        <f>P128+SUMIF('11.1.Амортиз.нови активи'!$B$11:$B$58,$B128,'11.1.Амортиз.нови активи'!Q$11:Q$58)+('9.Инвестиционна програма'!J$78*SUMIF('11.1.Амортиз.нови активи'!$B$11:$B$58,$B128,'11.1.Амортиз.нови активи'!AE$11:AE$58))</f>
        <v>0</v>
      </c>
      <c r="R128" s="895">
        <f>Q128+SUMIF('11.1.Амортиз.нови активи'!$B$11:$B$58,$B128,'11.1.Амортиз.нови активи'!R$11:R$58)+('9.Инвестиционна програма'!K$78*SUMIF('11.1.Амортиз.нови активи'!$B$11:$B$58,$B128,'11.1.Амортиз.нови активи'!AF$11:AF$58))</f>
        <v>0</v>
      </c>
      <c r="S128" s="2246">
        <v>0</v>
      </c>
      <c r="T128" s="893">
        <f>S128+SUMIF('11.1.Амортиз.нови активи'!$B$11:$B$58,$B128,'11.1.Амортиз.нови активи'!T$11:T$58)+('9.Инвестиционна програма'!F$79*SUMIF('11.1.Амортиз.нови активи'!$B$11:$B$58,$B128,'11.1.Амортиз.нови активи'!AA$11:AA$58))</f>
        <v>0</v>
      </c>
      <c r="U128" s="894">
        <f>T128+SUMIF('11.1.Амортиз.нови активи'!$B$11:$B$58,$B128,'11.1.Амортиз.нови активи'!U$11:U$58)+('9.Инвестиционна програма'!G$79*SUMIF('11.1.Амортиз.нови активи'!$B$11:$B$58,$B128,'11.1.Амортиз.нови активи'!AB$11:AB$58))</f>
        <v>0</v>
      </c>
      <c r="V128" s="894">
        <f>U128+SUMIF('11.1.Амортиз.нови активи'!$B$11:$B$58,$B128,'11.1.Амортиз.нови активи'!V$11:V$58)+('9.Инвестиционна програма'!H$79*SUMIF('11.1.Амортиз.нови активи'!$B$11:$B$58,$B128,'11.1.Амортиз.нови активи'!AC$11:AC$58))</f>
        <v>0</v>
      </c>
      <c r="W128" s="894">
        <f>V128+SUMIF('11.1.Амортиз.нови активи'!$B$11:$B$58,$B128,'11.1.Амортиз.нови активи'!W$11:W$58)+('9.Инвестиционна програма'!I$79*SUMIF('11.1.Амортиз.нови активи'!$B$11:$B$58,$B128,'11.1.Амортиз.нови активи'!AD$11:AD$58))</f>
        <v>0</v>
      </c>
      <c r="X128" s="894">
        <f>W128+SUMIF('11.1.Амортиз.нови активи'!$B$11:$B$58,$B128,'11.1.Амортиз.нови активи'!X$11:X$58)+('9.Инвестиционна програма'!J$79*SUMIF('11.1.Амортиз.нови активи'!$B$11:$B$58,$B128,'11.1.Амортиз.нови активи'!AE$11:AE$58))</f>
        <v>0</v>
      </c>
      <c r="Y128" s="895">
        <f>X128+SUMIF('11.1.Амортиз.нови активи'!$B$11:$B$58,$B128,'11.1.Амортиз.нови активи'!Y$11:Y$58)+('9.Инвестиционна програма'!K$79*SUMIF('11.1.Амортиз.нови активи'!$B$11:$B$58,$B128,'11.1.Амортиз.нови активи'!AF$11:AF$58))</f>
        <v>0</v>
      </c>
      <c r="Z128" s="1672"/>
      <c r="AA128" s="1703"/>
      <c r="AB128" s="1727"/>
    </row>
    <row r="129" spans="1:28" s="1643" customFormat="1" ht="24.75" thickBot="1">
      <c r="A129" s="1730">
        <v>19</v>
      </c>
      <c r="B129" s="1675">
        <v>215</v>
      </c>
      <c r="C129" s="1680">
        <v>0.2</v>
      </c>
      <c r="D129" s="1626" t="s">
        <v>911</v>
      </c>
      <c r="E129" s="2246">
        <v>0</v>
      </c>
      <c r="F129" s="899">
        <f>E129+SUMIF('11.1.Амортиз.нови активи'!$B$11:$B$58,$B129,'11.1.Амортиз.нови активи'!F$11:F$58)+('9.Инвестиционна програма'!F$77*SUMIF('11.1.Амортиз.нови активи'!$B$11:$B$58,$B129,'11.1.Амортиз.нови активи'!AA$11:AA$58))</f>
        <v>0</v>
      </c>
      <c r="G129" s="900">
        <f>F129+SUMIF('11.1.Амортиз.нови активи'!$B$11:$B$58,$B129,'11.1.Амортиз.нови активи'!G$11:G$58)+('9.Инвестиционна програма'!G$77*SUMIF('11.1.Амортиз.нови активи'!$B$11:$B$58,$B129,'11.1.Амортиз.нови активи'!AB$11:AB$58))</f>
        <v>0</v>
      </c>
      <c r="H129" s="900">
        <f>G129+SUMIF('11.1.Амортиз.нови активи'!$B$11:$B$58,$B129,'11.1.Амортиз.нови активи'!H$11:H$58)+('9.Инвестиционна програма'!H$77*SUMIF('11.1.Амортиз.нови активи'!$B$11:$B$58,$B129,'11.1.Амортиз.нови активи'!AC$11:AC$58))</f>
        <v>0</v>
      </c>
      <c r="I129" s="900">
        <f>H129+SUMIF('11.1.Амортиз.нови активи'!$B$11:$B$58,$B129,'11.1.Амортиз.нови активи'!I$11:I$58)+('9.Инвестиционна програма'!I$77*SUMIF('11.1.Амортиз.нови активи'!$B$11:$B$58,$B129,'11.1.Амортиз.нови активи'!AD$11:AD$58))</f>
        <v>0</v>
      </c>
      <c r="J129" s="900">
        <f>I129+SUMIF('11.1.Амортиз.нови активи'!$B$11:$B$58,$B129,'11.1.Амортиз.нови активи'!J$11:J$58)+('9.Инвестиционна програма'!J$77*SUMIF('11.1.Амортиз.нови активи'!$B$11:$B$58,$B129,'11.1.Амортиз.нови активи'!AE$11:AE$58))</f>
        <v>0</v>
      </c>
      <c r="K129" s="901">
        <f>J129+SUMIF('11.1.Амортиз.нови активи'!$B$11:$B$58,$B129,'11.1.Амортиз.нови активи'!K$11:K$58)+('9.Инвестиционна програма'!K$77*SUMIF('11.1.Амортиз.нови активи'!$B$11:$B$58,$B129,'11.1.Амортиз.нови активи'!AF$11:AF$58))</f>
        <v>0</v>
      </c>
      <c r="L129" s="2246">
        <v>0</v>
      </c>
      <c r="M129" s="899">
        <f>L129+SUMIF('11.1.Амортиз.нови активи'!$B$11:$B$58,$B129,'11.1.Амортиз.нови активи'!M$11:M$58)+('9.Инвестиционна програма'!F$78*SUMIF('11.1.Амортиз.нови активи'!$B$11:$B$58,$B129,'11.1.Амортиз.нови активи'!AA$11:AA$58))</f>
        <v>0</v>
      </c>
      <c r="N129" s="900">
        <f>M129+SUMIF('11.1.Амортиз.нови активи'!$B$11:$B$58,$B129,'11.1.Амортиз.нови активи'!N$11:N$58)+('9.Инвестиционна програма'!G$78*SUMIF('11.1.Амортиз.нови активи'!$B$11:$B$58,$B129,'11.1.Амортиз.нови активи'!AB$11:AB$58))</f>
        <v>0</v>
      </c>
      <c r="O129" s="900">
        <f>N129+SUMIF('11.1.Амортиз.нови активи'!$B$11:$B$58,$B129,'11.1.Амортиз.нови активи'!O$11:O$58)+('9.Инвестиционна програма'!H$78*SUMIF('11.1.Амортиз.нови активи'!$B$11:$B$58,$B129,'11.1.Амортиз.нови активи'!AC$11:AC$58))</f>
        <v>0</v>
      </c>
      <c r="P129" s="900">
        <f>O129+SUMIF('11.1.Амортиз.нови активи'!$B$11:$B$58,$B129,'11.1.Амортиз.нови активи'!P$11:P$58)+('9.Инвестиционна програма'!I$78*SUMIF('11.1.Амортиз.нови активи'!$B$11:$B$58,$B129,'11.1.Амортиз.нови активи'!AD$11:AD$58))</f>
        <v>0</v>
      </c>
      <c r="Q129" s="900">
        <f>P129+SUMIF('11.1.Амортиз.нови активи'!$B$11:$B$58,$B129,'11.1.Амортиз.нови активи'!Q$11:Q$58)+('9.Инвестиционна програма'!J$78*SUMIF('11.1.Амортиз.нови активи'!$B$11:$B$58,$B129,'11.1.Амортиз.нови активи'!AE$11:AE$58))</f>
        <v>0</v>
      </c>
      <c r="R129" s="901">
        <f>Q129+SUMIF('11.1.Амортиз.нови активи'!$B$11:$B$58,$B129,'11.1.Амортиз.нови активи'!R$11:R$58)+('9.Инвестиционна програма'!K$78*SUMIF('11.1.Амортиз.нови активи'!$B$11:$B$58,$B129,'11.1.Амортиз.нови активи'!AF$11:AF$58))</f>
        <v>0</v>
      </c>
      <c r="S129" s="2246">
        <v>0</v>
      </c>
      <c r="T129" s="899">
        <f>S129+SUMIF('11.1.Амортиз.нови активи'!$B$11:$B$58,$B129,'11.1.Амортиз.нови активи'!T$11:T$58)+('9.Инвестиционна програма'!F$79*SUMIF('11.1.Амортиз.нови активи'!$B$11:$B$58,$B129,'11.1.Амортиз.нови активи'!AA$11:AA$58))</f>
        <v>0</v>
      </c>
      <c r="U129" s="900">
        <f>T129+SUMIF('11.1.Амортиз.нови активи'!$B$11:$B$58,$B129,'11.1.Амортиз.нови активи'!U$11:U$58)+('9.Инвестиционна програма'!G$79*SUMIF('11.1.Амортиз.нови активи'!$B$11:$B$58,$B129,'11.1.Амортиз.нови активи'!AB$11:AB$58))</f>
        <v>0</v>
      </c>
      <c r="V129" s="900">
        <f>U129+SUMIF('11.1.Амортиз.нови активи'!$B$11:$B$58,$B129,'11.1.Амортиз.нови активи'!V$11:V$58)+('9.Инвестиционна програма'!H$79*SUMIF('11.1.Амортиз.нови активи'!$B$11:$B$58,$B129,'11.1.Амортиз.нови активи'!AC$11:AC$58))</f>
        <v>0</v>
      </c>
      <c r="W129" s="900">
        <f>V129+SUMIF('11.1.Амортиз.нови активи'!$B$11:$B$58,$B129,'11.1.Амортиз.нови активи'!W$11:W$58)+('9.Инвестиционна програма'!I$79*SUMIF('11.1.Амортиз.нови активи'!$B$11:$B$58,$B129,'11.1.Амортиз.нови активи'!AD$11:AD$58))</f>
        <v>0</v>
      </c>
      <c r="X129" s="900">
        <f>W129+SUMIF('11.1.Амортиз.нови активи'!$B$11:$B$58,$B129,'11.1.Амортиз.нови активи'!X$11:X$58)+('9.Инвестиционна програма'!J$79*SUMIF('11.1.Амортиз.нови активи'!$B$11:$B$58,$B129,'11.1.Амортиз.нови активи'!AE$11:AE$58))</f>
        <v>0</v>
      </c>
      <c r="Y129" s="901">
        <f>X129+SUMIF('11.1.Амортиз.нови активи'!$B$11:$B$58,$B129,'11.1.Амортиз.нови активи'!Y$11:Y$58)+('9.Инвестиционна програма'!K$79*SUMIF('11.1.Амортиз.нови активи'!$B$11:$B$58,$B129,'11.1.Амортиз.нови активи'!AF$11:AF$58))</f>
        <v>0</v>
      </c>
      <c r="Z129" s="1672"/>
      <c r="AA129" s="1703"/>
      <c r="AB129" s="1727"/>
    </row>
    <row r="130" spans="1:28" s="1643" customFormat="1" ht="13.5" thickBot="1">
      <c r="A130" s="1695" t="s">
        <v>269</v>
      </c>
      <c r="B130" s="1696"/>
      <c r="C130" s="1696"/>
      <c r="D130" s="1666" t="s">
        <v>281</v>
      </c>
      <c r="E130" s="1719">
        <f t="shared" ref="E130:Y130" si="105">SUM(E131:E149)</f>
        <v>0</v>
      </c>
      <c r="F130" s="1723">
        <f t="shared" si="105"/>
        <v>85.890000000000015</v>
      </c>
      <c r="G130" s="1724">
        <f t="shared" si="105"/>
        <v>151.99</v>
      </c>
      <c r="H130" s="1724">
        <f t="shared" si="105"/>
        <v>180.93999999999997</v>
      </c>
      <c r="I130" s="1725">
        <f t="shared" si="105"/>
        <v>208.83999999999997</v>
      </c>
      <c r="J130" s="1724">
        <f t="shared" si="105"/>
        <v>234.53999999999996</v>
      </c>
      <c r="K130" s="1724">
        <f t="shared" si="105"/>
        <v>258.03999999999996</v>
      </c>
      <c r="L130" s="1719">
        <f t="shared" si="105"/>
        <v>0</v>
      </c>
      <c r="M130" s="1723">
        <f t="shared" si="105"/>
        <v>0.63</v>
      </c>
      <c r="N130" s="1724">
        <f t="shared" si="105"/>
        <v>1.61</v>
      </c>
      <c r="O130" s="1724">
        <f t="shared" si="105"/>
        <v>2.42</v>
      </c>
      <c r="P130" s="1725">
        <f t="shared" si="105"/>
        <v>3.5199999999999996</v>
      </c>
      <c r="Q130" s="1724">
        <f t="shared" si="105"/>
        <v>4.8500000000000005</v>
      </c>
      <c r="R130" s="1724">
        <f t="shared" si="105"/>
        <v>5.89</v>
      </c>
      <c r="S130" s="1719">
        <f t="shared" si="105"/>
        <v>0</v>
      </c>
      <c r="T130" s="1720">
        <f t="shared" si="105"/>
        <v>0</v>
      </c>
      <c r="U130" s="1721">
        <f t="shared" si="105"/>
        <v>0.78</v>
      </c>
      <c r="V130" s="1721">
        <f t="shared" si="105"/>
        <v>2.2400000000000002</v>
      </c>
      <c r="W130" s="1722">
        <f t="shared" si="105"/>
        <v>3.84</v>
      </c>
      <c r="X130" s="1721">
        <f t="shared" si="105"/>
        <v>5.38</v>
      </c>
      <c r="Y130" s="1726">
        <f t="shared" si="105"/>
        <v>6.82</v>
      </c>
      <c r="Z130" s="1667"/>
      <c r="AA130" s="1703"/>
      <c r="AB130" s="1727"/>
    </row>
    <row r="131" spans="1:28" s="1643" customFormat="1">
      <c r="A131" s="1674">
        <v>1</v>
      </c>
      <c r="B131" s="1669">
        <v>20102</v>
      </c>
      <c r="C131" s="1691">
        <v>0</v>
      </c>
      <c r="D131" s="280" t="s">
        <v>760</v>
      </c>
      <c r="E131" s="2246">
        <v>0</v>
      </c>
      <c r="F131" s="893">
        <f>$E131-SUMIF('11.2. Нови активи отч.год.'!$B$61:$B$108,$B131,'11.2. Нови активи отч.год.'!$E$61:$E$108)+SUMIF('11.2. Нови активи отч.год.'!$B$61:$B$108,$B131,'11.2. Нови активи отч.год.'!F$61:F$108)+SUMIF('11.1.Амортиз.нови активи'!$B$60:$B$107,$B131,'11.1.Амортиз.нови активи'!F$60:F$107)+('11.1.Амортиз.нови активи'!F$109*SUMIF('11.1.Амортиз.нови активи'!$B$60:$B$107,$B131,'11.1.Амортиз.нови активи'!AA$60:AA$107))</f>
        <v>0</v>
      </c>
      <c r="G131" s="894">
        <f>$E131-SUMIF('11.2. Нови активи отч.год.'!$B$61:$B$108,$B131,'11.2. Нови активи отч.год.'!$E$61:$E$108)+SUMIF('11.2. Нови активи отч.год.'!$B$61:$B$108,$B131,'11.2. Нови активи отч.год.'!G$61:G$108)+SUMIF('11.1.Амортиз.нови активи'!$B$60:$B$107,$B131,'11.1.Амортиз.нови активи'!G$60:G$107)+('11.1.Амортиз.нови активи'!G$109*SUMIF('11.1.Амортиз.нови активи'!$B$60:$B$107,$B131,'11.1.Амортиз.нови активи'!AB$60:AB$107))</f>
        <v>0</v>
      </c>
      <c r="H131" s="894">
        <f>$E131-SUMIF('11.2. Нови активи отч.год.'!$B$61:$B$108,$B131,'11.2. Нови активи отч.год.'!$E$61:$E$108)+SUMIF('11.2. Нови активи отч.год.'!$B$61:$B$108,$B131,'11.2. Нови активи отч.год.'!H$61:H$108)+SUMIF('11.1.Амортиз.нови активи'!$B$60:$B$107,$B131,'11.1.Амортиз.нови активи'!H$60:H$107)+('11.1.Амортиз.нови активи'!H$109*SUMIF('11.1.Амортиз.нови активи'!$B$60:$B$107,$B131,'11.1.Амортиз.нови активи'!AC$60:AC$107))</f>
        <v>0</v>
      </c>
      <c r="I131" s="894">
        <f>$E131-SUMIF('11.2. Нови активи отч.год.'!$B$61:$B$108,$B131,'11.2. Нови активи отч.год.'!$E$61:$E$108)+SUMIF('11.2. Нови активи отч.год.'!$B$61:$B$108,$B131,'11.2. Нови активи отч.год.'!I$61:I$108)+SUMIF('11.1.Амортиз.нови активи'!$B$60:$B$107,$B131,'11.1.Амортиз.нови активи'!I$60:I$107)+('11.1.Амортиз.нови активи'!I$109*SUMIF('11.1.Амортиз.нови активи'!$B$60:$B$107,$B131,'11.1.Амортиз.нови активи'!AD$60:AD$107))</f>
        <v>0</v>
      </c>
      <c r="J131" s="894">
        <f>$E131-SUMIF('11.2. Нови активи отч.год.'!$B$61:$B$108,$B131,'11.2. Нови активи отч.год.'!$E$61:$E$108)+SUMIF('11.2. Нови активи отч.год.'!$B$61:$B$108,$B131,'11.2. Нови активи отч.год.'!J$61:J$108)+SUMIF('11.1.Амортиз.нови активи'!$B$60:$B$107,$B131,'11.1.Амортиз.нови активи'!J$60:J$107)+('11.1.Амортиз.нови активи'!J$109*SUMIF('11.1.Амортиз.нови активи'!$B$60:$B$107,$B131,'11.1.Амортиз.нови активи'!AE$60:AE$107))</f>
        <v>0</v>
      </c>
      <c r="K131" s="894">
        <f>$E131-SUMIF('11.2. Нови активи отч.год.'!$B$61:$B$108,$B131,'11.2. Нови активи отч.год.'!$E$61:$E$108)+SUMIF('11.2. Нови активи отч.год.'!$B$61:$B$108,$B131,'11.2. Нови активи отч.год.'!K$61:K$108)+SUMIF('11.1.Амортиз.нови активи'!$B$60:$B$107,$B131,'11.1.Амортиз.нови активи'!K$60:K$107)+('11.1.Амортиз.нови активи'!K$109*SUMIF('11.1.Амортиз.нови активи'!$B$60:$B$107,$B131,'11.1.Амортиз.нови активи'!AF$60:AF$107))</f>
        <v>0</v>
      </c>
      <c r="L131" s="2246">
        <v>0</v>
      </c>
      <c r="M131" s="896">
        <f>$L131-SUMIF('11.2. Нови активи отч.год.'!$B$61:$B$108,$B131,'11.2. Нови активи отч.год.'!$L$61:$L$108)+SUMIF('11.2. Нови активи отч.год.'!$B$61:$B$108,$B131,'11.2. Нови активи отч.год.'!M$61:M$108)+SUMIF('11.1.Амортиз.нови активи'!$B$60:$B$107,$B131,'11.1.Амортиз.нови активи'!M$60:M$107)+('11.1.Амортиз.нови активи'!F$110*SUMIF('11.1.Амортиз.нови активи'!$B$60:$B$107,$B131,'11.1.Амортиз.нови активи'!AA$60:AA$107))</f>
        <v>0</v>
      </c>
      <c r="N131" s="897">
        <f>$L131-SUMIF('11.2. Нови активи отч.год.'!$B$61:$B$108,$B131,'11.2. Нови активи отч.год.'!$L$61:$L$108)+SUMIF('11.2. Нови активи отч.год.'!$B$61:$B$108,$B131,'11.2. Нови активи отч.год.'!N$61:N$108)+SUMIF('11.1.Амортиз.нови активи'!$B$60:$B$107,$B131,'11.1.Амортиз.нови активи'!N$60:N$107)+('11.1.Амортиз.нови активи'!G$110*SUMIF('11.1.Амортиз.нови активи'!$B$60:$B$107,$B131,'11.1.Амортиз.нови активи'!AB$60:AB$107))</f>
        <v>0</v>
      </c>
      <c r="O131" s="897">
        <f>$L131-SUMIF('11.2. Нови активи отч.год.'!$B$61:$B$108,$B131,'11.2. Нови активи отч.год.'!$L$61:$L$108)+SUMIF('11.2. Нови активи отч.год.'!$B$61:$B$108,$B131,'11.2. Нови активи отч.год.'!O$61:O$108)+SUMIF('11.1.Амортиз.нови активи'!$B$60:$B$107,$B131,'11.1.Амортиз.нови активи'!O$60:O$107)+('11.1.Амортиз.нови активи'!H$110*SUMIF('11.1.Амортиз.нови активи'!$B$60:$B$107,$B131,'11.1.Амортиз.нови активи'!AC$60:AC$107))</f>
        <v>0</v>
      </c>
      <c r="P131" s="897">
        <f>$L131-SUMIF('11.2. Нови активи отч.год.'!$B$61:$B$108,$B131,'11.2. Нови активи отч.год.'!$L$61:$L$108)+SUMIF('11.2. Нови активи отч.год.'!$B$61:$B$108,$B131,'11.2. Нови активи отч.год.'!P$61:P$108)+SUMIF('11.1.Амортиз.нови активи'!$B$60:$B$107,$B131,'11.1.Амортиз.нови активи'!P$60:P$107)+('11.1.Амортиз.нови активи'!I$110*SUMIF('11.1.Амортиз.нови активи'!$B$60:$B$107,$B131,'11.1.Амортиз.нови активи'!AD$60:AD$107))</f>
        <v>0</v>
      </c>
      <c r="Q131" s="897">
        <f>$L131-SUMIF('11.2. Нови активи отч.год.'!$B$61:$B$108,$B131,'11.2. Нови активи отч.год.'!$L$61:$L$108)+SUMIF('11.2. Нови активи отч.год.'!$B$61:$B$108,$B131,'11.2. Нови активи отч.год.'!Q$61:Q$108)+SUMIF('11.1.Амортиз.нови активи'!$B$60:$B$107,$B131,'11.1.Амортиз.нови активи'!Q$60:Q$107)+('11.1.Амортиз.нови активи'!J$110*SUMIF('11.1.Амортиз.нови активи'!$B$60:$B$107,$B131,'11.1.Амортиз.нови активи'!AE$60:AE$107))</f>
        <v>0</v>
      </c>
      <c r="R131" s="898">
        <f>$L131-SUMIF('11.2. Нови активи отч.год.'!$B$61:$B$108,$B131,'11.2. Нови активи отч.год.'!$L$61:$L$108)+SUMIF('11.2. Нови активи отч.год.'!$B$61:$B$108,$B131,'11.2. Нови активи отч.год.'!R$61:R$108)+SUMIF('11.1.Амортиз.нови активи'!$B$60:$B$107,$B131,'11.1.Амортиз.нови активи'!R$60:R$107)+('11.1.Амортиз.нови активи'!K$110*SUMIF('11.1.Амортиз.нови активи'!$B$60:$B$107,$B131,'11.1.Амортиз.нови активи'!AF$60:AF$107))</f>
        <v>0</v>
      </c>
      <c r="S131" s="2246">
        <v>0</v>
      </c>
      <c r="T131" s="893">
        <f>$S131-SUMIF('11.2. Нови активи отч.год.'!$B$61:$B$108,$B131,'11.2. Нови активи отч.год.'!$S$61:$S$108)+SUMIF('11.2. Нови активи отч.год.'!$B$61:$B$108,$B131,'11.2. Нови активи отч.год.'!T$61:T$108)+SUMIF('11.1.Амортиз.нови активи'!$B$60:$B$107,$B131,'11.1.Амортиз.нови активи'!T$60:T$107)+('11.1.Амортиз.нови активи'!F$111*SUMIF('11.1.Амортиз.нови активи'!$B$60:$B$107,$B131,'11.1.Амортиз.нови активи'!AA$60:AA$107))</f>
        <v>0</v>
      </c>
      <c r="U131" s="894">
        <f>$S131-SUMIF('11.2. Нови активи отч.год.'!$B$61:$B$108,$B131,'11.2. Нови активи отч.год.'!$S$61:$S$108)+SUMIF('11.2. Нови активи отч.год.'!$B$61:$B$108,$B131,'11.2. Нови активи отч.год.'!U$61:U$108)+SUMIF('11.1.Амортиз.нови активи'!$B$60:$B$107,$B131,'11.1.Амортиз.нови активи'!U$60:U$107)+('11.1.Амортиз.нови активи'!G$111*SUMIF('11.1.Амортиз.нови активи'!$B$60:$B$107,$B131,'11.1.Амортиз.нови активи'!AB$60:AB$107))</f>
        <v>0</v>
      </c>
      <c r="V131" s="894">
        <f>$S131-SUMIF('11.2. Нови активи отч.год.'!$B$61:$B$108,$B131,'11.2. Нови активи отч.год.'!$S$61:$S$108)+SUMIF('11.2. Нови активи отч.год.'!$B$61:$B$108,$B131,'11.2. Нови активи отч.год.'!V$61:V$108)+SUMIF('11.1.Амортиз.нови активи'!$B$60:$B$107,$B131,'11.1.Амортиз.нови активи'!V$60:V$107)+('11.1.Амортиз.нови активи'!H$111*SUMIF('11.1.Амортиз.нови активи'!$B$60:$B$107,$B131,'11.1.Амортиз.нови активи'!AC$60:AC$107))</f>
        <v>0</v>
      </c>
      <c r="W131" s="894">
        <f>$S131-SUMIF('11.2. Нови активи отч.год.'!$B$61:$B$108,$B131,'11.2. Нови активи отч.год.'!$S$61:$S$108)+SUMIF('11.2. Нови активи отч.год.'!$B$61:$B$108,$B131,'11.2. Нови активи отч.год.'!W$61:W$108)+SUMIF('11.1.Амортиз.нови активи'!$B$60:$B$107,$B131,'11.1.Амортиз.нови активи'!W$60:W$107)+('11.1.Амортиз.нови активи'!I$111*SUMIF('11.1.Амортиз.нови активи'!$B$60:$B$107,$B131,'11.1.Амортиз.нови активи'!AD$60:AD$107))</f>
        <v>0</v>
      </c>
      <c r="X131" s="894">
        <f>$S131-SUMIF('11.2. Нови активи отч.год.'!$B$61:$B$108,$B131,'11.2. Нови активи отч.год.'!$S$61:$S$108)+SUMIF('11.2. Нови активи отч.год.'!$B$61:$B$108,$B131,'11.2. Нови активи отч.год.'!X$61:X$108)+SUMIF('11.1.Амортиз.нови активи'!$B$60:$B$107,$B131,'11.1.Амортиз.нови активи'!X$60:X$107)+('11.1.Амортиз.нови активи'!J$111*SUMIF('11.1.Амортиз.нови активи'!$B$60:$B$107,$B131,'11.1.Амортиз.нови активи'!AE$60:AE$107))</f>
        <v>0</v>
      </c>
      <c r="Y131" s="895">
        <f>$S131-SUMIF('11.2. Нови активи отч.год.'!$B$61:$B$108,$B131,'11.2. Нови активи отч.год.'!$S$61:$S$108)+SUMIF('11.2. Нови активи отч.год.'!$B$61:$B$108,$B131,'11.2. Нови активи отч.год.'!Y$61:Y$108)+SUMIF('11.1.Амортиз.нови активи'!$B$60:$B$107,$B131,'11.1.Амортиз.нови активи'!Y$60:Y$107)+('11.1.Амортиз.нови активи'!K$111*SUMIF('11.1.Амортиз.нови активи'!$B$60:$B$107,$B131,'11.1.Амортиз.нови активи'!AF$60:AF$107))</f>
        <v>0</v>
      </c>
      <c r="Z131" s="1698"/>
      <c r="AA131" s="1703"/>
      <c r="AB131" s="1727"/>
    </row>
    <row r="132" spans="1:28" s="1643" customFormat="1">
      <c r="A132" s="1674">
        <v>2</v>
      </c>
      <c r="B132" s="1675">
        <v>20202</v>
      </c>
      <c r="C132" s="1676">
        <v>0.03</v>
      </c>
      <c r="D132" s="1728" t="s">
        <v>598</v>
      </c>
      <c r="E132" s="2246">
        <v>0</v>
      </c>
      <c r="F132" s="893">
        <f>$E132-SUMIF('11.2. Нови активи отч.год.'!$B$61:$B$108,$B132,'11.2. Нови активи отч.год.'!$E$61:$E$108)+SUMIF('11.2. Нови активи отч.год.'!$B$61:$B$108,$B132,'11.2. Нови активи отч.год.'!F$61:F$108)+SUMIF('11.1.Амортиз.нови активи'!$B$60:$B$107,$B132,'11.1.Амортиз.нови активи'!F$60:F$107)+('11.1.Амортиз.нови активи'!F$109*SUMIF('11.1.Амортиз.нови активи'!$B$60:$B$107,$B132,'11.1.Амортиз.нови активи'!AA$60:AA$107))</f>
        <v>1.21</v>
      </c>
      <c r="G132" s="894">
        <f>$E132-SUMIF('11.2. Нови активи отч.год.'!$B$61:$B$108,$B132,'11.2. Нови активи отч.год.'!$E$61:$E$108)+SUMIF('11.2. Нови активи отч.год.'!$B$61:$B$108,$B132,'11.2. Нови активи отч.год.'!G$61:G$108)+SUMIF('11.1.Амортиз.нови активи'!$B$60:$B$107,$B132,'11.1.Амортиз.нови активи'!G$60:G$107)+('11.1.Амортиз.нови активи'!G$109*SUMIF('11.1.Амортиз.нови активи'!$B$60:$B$107,$B132,'11.1.Амортиз.нови активи'!AB$60:AB$107))</f>
        <v>1.51</v>
      </c>
      <c r="H132" s="894">
        <f>$E132-SUMIF('11.2. Нови активи отч.год.'!$B$61:$B$108,$B132,'11.2. Нови активи отч.год.'!$E$61:$E$108)+SUMIF('11.2. Нови активи отч.год.'!$B$61:$B$108,$B132,'11.2. Нови активи отч.год.'!H$61:H$108)+SUMIF('11.1.Амортиз.нови активи'!$B$60:$B$107,$B132,'11.1.Амортиз.нови активи'!H$60:H$107)+('11.1.Амортиз.нови активи'!H$109*SUMIF('11.1.Амортиз.нови активи'!$B$60:$B$107,$B132,'11.1.Амортиз.нови активи'!AC$60:AC$107))</f>
        <v>1.96</v>
      </c>
      <c r="I132" s="894">
        <f>$E132-SUMIF('11.2. Нови активи отч.год.'!$B$61:$B$108,$B132,'11.2. Нови активи отч.год.'!$E$61:$E$108)+SUMIF('11.2. Нови активи отч.год.'!$B$61:$B$108,$B132,'11.2. Нови активи отч.год.'!I$61:I$108)+SUMIF('11.1.Амортиз.нови активи'!$B$60:$B$107,$B132,'11.1.Амортиз.нови активи'!I$60:I$107)+('11.1.Амортиз.нови активи'!I$109*SUMIF('11.1.Амортиз.нови активи'!$B$60:$B$107,$B132,'11.1.Амортиз.нови активи'!AD$60:AD$107))</f>
        <v>2.2599999999999998</v>
      </c>
      <c r="J132" s="894">
        <f>$E132-SUMIF('11.2. Нови активи отч.год.'!$B$61:$B$108,$B132,'11.2. Нови активи отч.год.'!$E$61:$E$108)+SUMIF('11.2. Нови активи отч.год.'!$B$61:$B$108,$B132,'11.2. Нови активи отч.год.'!J$61:J$108)+SUMIF('11.1.Амортиз.нови активи'!$B$60:$B$107,$B132,'11.1.Амортиз.нови активи'!J$60:J$107)+('11.1.Амортиз.нови активи'!J$109*SUMIF('11.1.Амортиз.нови активи'!$B$60:$B$107,$B132,'11.1.Амортиз.нови активи'!AE$60:AE$107))</f>
        <v>2.5599999999999996</v>
      </c>
      <c r="K132" s="894">
        <f>$E132-SUMIF('11.2. Нови активи отч.год.'!$B$61:$B$108,$B132,'11.2. Нови активи отч.год.'!$E$61:$E$108)+SUMIF('11.2. Нови активи отч.год.'!$B$61:$B$108,$B132,'11.2. Нови активи отч.год.'!K$61:K$108)+SUMIF('11.1.Амортиз.нови активи'!$B$60:$B$107,$B132,'11.1.Амортиз.нови активи'!K$60:K$107)+('11.1.Амортиз.нови активи'!K$109*SUMIF('11.1.Амортиз.нови активи'!$B$60:$B$107,$B132,'11.1.Амортиз.нови активи'!AF$60:AF$107))</f>
        <v>2.86</v>
      </c>
      <c r="L132" s="2246">
        <v>0</v>
      </c>
      <c r="M132" s="893">
        <f>$L132-SUMIF('11.2. Нови активи отч.год.'!$B$61:$B$108,$B132,'11.2. Нови активи отч.год.'!$L$61:$L$108)+SUMIF('11.2. Нови активи отч.год.'!$B$61:$B$108,$B132,'11.2. Нови активи отч.год.'!M$61:M$108)+SUMIF('11.1.Амортиз.нови активи'!$B$60:$B$107,$B132,'11.1.Амортиз.нови активи'!M$60:M$107)+('11.1.Амортиз.нови активи'!F$110*SUMIF('11.1.Амортиз.нови активи'!$B$60:$B$107,$B132,'11.1.Амортиз.нови активи'!AA$60:AA$107))</f>
        <v>0</v>
      </c>
      <c r="N132" s="894">
        <f>$L132-SUMIF('11.2. Нови активи отч.год.'!$B$61:$B$108,$B132,'11.2. Нови активи отч.год.'!$L$61:$L$108)+SUMIF('11.2. Нови активи отч.год.'!$B$61:$B$108,$B132,'11.2. Нови активи отч.год.'!N$61:N$108)+SUMIF('11.1.Амортиз.нови активи'!$B$60:$B$107,$B132,'11.1.Амортиз.нови активи'!N$60:N$107)+('11.1.Амортиз.нови активи'!G$110*SUMIF('11.1.Амортиз.нови активи'!$B$60:$B$107,$B132,'11.1.Амортиз.нови активи'!AB$60:AB$107))</f>
        <v>0</v>
      </c>
      <c r="O132" s="894">
        <f>$L132-SUMIF('11.2. Нови активи отч.год.'!$B$61:$B$108,$B132,'11.2. Нови активи отч.год.'!$L$61:$L$108)+SUMIF('11.2. Нови активи отч.год.'!$B$61:$B$108,$B132,'11.2. Нови активи отч.год.'!O$61:O$108)+SUMIF('11.1.Амортиз.нови активи'!$B$60:$B$107,$B132,'11.1.Амортиз.нови активи'!O$60:O$107)+('11.1.Амортиз.нови активи'!H$110*SUMIF('11.1.Амортиз.нови активи'!$B$60:$B$107,$B132,'11.1.Амортиз.нови активи'!AC$60:AC$107))</f>
        <v>0</v>
      </c>
      <c r="P132" s="894">
        <f>$L132-SUMIF('11.2. Нови активи отч.год.'!$B$61:$B$108,$B132,'11.2. Нови активи отч.год.'!$L$61:$L$108)+SUMIF('11.2. Нови активи отч.год.'!$B$61:$B$108,$B132,'11.2. Нови активи отч.год.'!P$61:P$108)+SUMIF('11.1.Амортиз.нови активи'!$B$60:$B$107,$B132,'11.1.Амортиз.нови активи'!P$60:P$107)+('11.1.Амортиз.нови активи'!I$110*SUMIF('11.1.Амортиз.нови активи'!$B$60:$B$107,$B132,'11.1.Амортиз.нови активи'!AD$60:AD$107))</f>
        <v>0</v>
      </c>
      <c r="Q132" s="894">
        <f>$L132-SUMIF('11.2. Нови активи отч.год.'!$B$61:$B$108,$B132,'11.2. Нови активи отч.год.'!$L$61:$L$108)+SUMIF('11.2. Нови активи отч.год.'!$B$61:$B$108,$B132,'11.2. Нови активи отч.год.'!Q$61:Q$108)+SUMIF('11.1.Амортиз.нови активи'!$B$60:$B$107,$B132,'11.1.Амортиз.нови активи'!Q$60:Q$107)+('11.1.Амортиз.нови активи'!J$110*SUMIF('11.1.Амортиз.нови активи'!$B$60:$B$107,$B132,'11.1.Амортиз.нови активи'!AE$60:AE$107))</f>
        <v>0</v>
      </c>
      <c r="R132" s="895">
        <f>$L132-SUMIF('11.2. Нови активи отч.год.'!$B$61:$B$108,$B132,'11.2. Нови активи отч.год.'!$L$61:$L$108)+SUMIF('11.2. Нови активи отч.год.'!$B$61:$B$108,$B132,'11.2. Нови активи отч.год.'!R$61:R$108)+SUMIF('11.1.Амортиз.нови активи'!$B$60:$B$107,$B132,'11.1.Амортиз.нови активи'!R$60:R$107)+('11.1.Амортиз.нови активи'!K$110*SUMIF('11.1.Амортиз.нови активи'!$B$60:$B$107,$B132,'11.1.Амортиз.нови активи'!AF$60:AF$107))</f>
        <v>0</v>
      </c>
      <c r="S132" s="2246">
        <v>0</v>
      </c>
      <c r="T132" s="893">
        <f>$S132-SUMIF('11.2. Нови активи отч.год.'!$B$61:$B$108,$B132,'11.2. Нови активи отч.год.'!$S$61:$S$108)+SUMIF('11.2. Нови активи отч.год.'!$B$61:$B$108,$B132,'11.2. Нови активи отч.год.'!T$61:T$108)+SUMIF('11.1.Амортиз.нови активи'!$B$60:$B$107,$B132,'11.1.Амортиз.нови активи'!T$60:T$107)+('11.1.Амортиз.нови активи'!F$111*SUMIF('11.1.Амортиз.нови активи'!$B$60:$B$107,$B132,'11.1.Амортиз.нови активи'!AA$60:AA$107))</f>
        <v>0</v>
      </c>
      <c r="U132" s="894">
        <f>$S132-SUMIF('11.2. Нови активи отч.год.'!$B$61:$B$108,$B132,'11.2. Нови активи отч.год.'!$S$61:$S$108)+SUMIF('11.2. Нови активи отч.год.'!$B$61:$B$108,$B132,'11.2. Нови активи отч.год.'!U$61:U$108)+SUMIF('11.1.Амортиз.нови активи'!$B$60:$B$107,$B132,'11.1.Амортиз.нови активи'!U$60:U$107)+('11.1.Амортиз.нови активи'!G$111*SUMIF('11.1.Амортиз.нови активи'!$B$60:$B$107,$B132,'11.1.Амортиз.нови активи'!AB$60:AB$107))</f>
        <v>0</v>
      </c>
      <c r="V132" s="894">
        <f>$S132-SUMIF('11.2. Нови активи отч.год.'!$B$61:$B$108,$B132,'11.2. Нови активи отч.год.'!$S$61:$S$108)+SUMIF('11.2. Нови активи отч.год.'!$B$61:$B$108,$B132,'11.2. Нови активи отч.год.'!V$61:V$108)+SUMIF('11.1.Амортиз.нови активи'!$B$60:$B$107,$B132,'11.1.Амортиз.нови активи'!V$60:V$107)+('11.1.Амортиз.нови активи'!H$111*SUMIF('11.1.Амортиз.нови активи'!$B$60:$B$107,$B132,'11.1.Амортиз.нови активи'!AC$60:AC$107))</f>
        <v>0</v>
      </c>
      <c r="W132" s="894">
        <f>$S132-SUMIF('11.2. Нови активи отч.год.'!$B$61:$B$108,$B132,'11.2. Нови активи отч.год.'!$S$61:$S$108)+SUMIF('11.2. Нови активи отч.год.'!$B$61:$B$108,$B132,'11.2. Нови активи отч.год.'!W$61:W$108)+SUMIF('11.1.Амортиз.нови активи'!$B$60:$B$107,$B132,'11.1.Амортиз.нови активи'!W$60:W$107)+('11.1.Амортиз.нови активи'!I$111*SUMIF('11.1.Амортиз.нови активи'!$B$60:$B$107,$B132,'11.1.Амортиз.нови активи'!AD$60:AD$107))</f>
        <v>0</v>
      </c>
      <c r="X132" s="894">
        <f>$S132-SUMIF('11.2. Нови активи отч.год.'!$B$61:$B$108,$B132,'11.2. Нови активи отч.год.'!$S$61:$S$108)+SUMIF('11.2. Нови активи отч.год.'!$B$61:$B$108,$B132,'11.2. Нови активи отч.год.'!X$61:X$108)+SUMIF('11.1.Амортиз.нови активи'!$B$60:$B$107,$B132,'11.1.Амортиз.нови активи'!X$60:X$107)+('11.1.Амортиз.нови активи'!J$111*SUMIF('11.1.Амортиз.нови активи'!$B$60:$B$107,$B132,'11.1.Амортиз.нови активи'!AE$60:AE$107))</f>
        <v>0</v>
      </c>
      <c r="Y132" s="895">
        <f>$S132-SUMIF('11.2. Нови активи отч.год.'!$B$61:$B$108,$B132,'11.2. Нови активи отч.год.'!$S$61:$S$108)+SUMIF('11.2. Нови активи отч.год.'!$B$61:$B$108,$B132,'11.2. Нови активи отч.год.'!Y$61:Y$108)+SUMIF('11.1.Амортиз.нови активи'!$B$60:$B$107,$B132,'11.1.Амортиз.нови активи'!Y$60:Y$107)+('11.1.Амортиз.нови активи'!K$111*SUMIF('11.1.Амортиз.нови активи'!$B$60:$B$107,$B132,'11.1.Амортиз.нови активи'!AF$60:AF$107))</f>
        <v>0</v>
      </c>
      <c r="Z132" s="1672"/>
      <c r="AA132" s="1703"/>
      <c r="AB132" s="1727"/>
    </row>
    <row r="133" spans="1:28" s="1643" customFormat="1">
      <c r="A133" s="1674">
        <v>3</v>
      </c>
      <c r="B133" s="1675">
        <v>2030401</v>
      </c>
      <c r="C133" s="1680">
        <v>0.1</v>
      </c>
      <c r="D133" s="1626" t="s">
        <v>1470</v>
      </c>
      <c r="E133" s="2246">
        <v>0</v>
      </c>
      <c r="F133" s="893">
        <f>$E133-SUMIF('11.2. Нови активи отч.год.'!$B$61:$B$108,$B133,'11.2. Нови активи отч.год.'!$E$61:$E$108)+SUMIF('11.2. Нови активи отч.год.'!$B$61:$B$108,$B133,'11.2. Нови активи отч.год.'!F$61:F$108)+SUMIF('11.1.Амортиз.нови активи'!$B$60:$B$107,$B133,'11.1.Амортиз.нови активи'!F$60:F$107)+('11.1.Амортиз.нови активи'!F$109*SUMIF('11.1.Амортиз.нови активи'!$B$60:$B$107,$B133,'11.1.Амортиз.нови активи'!AA$60:AA$107))</f>
        <v>3.4</v>
      </c>
      <c r="G133" s="894">
        <f>$E133-SUMIF('11.2. Нови активи отч.год.'!$B$61:$B$108,$B133,'11.2. Нови активи отч.год.'!$E$61:$E$108)+SUMIF('11.2. Нови активи отч.год.'!$B$61:$B$108,$B133,'11.2. Нови активи отч.год.'!G$61:G$108)+SUMIF('11.1.Амортиз.нови активи'!$B$60:$B$107,$B133,'11.1.Амортиз.нови активи'!G$60:G$107)+('11.1.Амортиз.нови активи'!G$109*SUMIF('11.1.Амортиз.нови активи'!$B$60:$B$107,$B133,'11.1.Амортиз.нови активи'!AB$60:AB$107))</f>
        <v>3.4</v>
      </c>
      <c r="H133" s="894">
        <f>$E133-SUMIF('11.2. Нови активи отч.год.'!$B$61:$B$108,$B133,'11.2. Нови активи отч.год.'!$E$61:$E$108)+SUMIF('11.2. Нови активи отч.год.'!$B$61:$B$108,$B133,'11.2. Нови активи отч.год.'!H$61:H$108)+SUMIF('11.1.Амортиз.нови активи'!$B$60:$B$107,$B133,'11.1.Амортиз.нови активи'!H$60:H$107)+('11.1.Амортиз.нови активи'!H$109*SUMIF('11.1.Амортиз.нови активи'!$B$60:$B$107,$B133,'11.1.Амортиз.нови активи'!AC$60:AC$107))</f>
        <v>3.4</v>
      </c>
      <c r="I133" s="894">
        <f>$E133-SUMIF('11.2. Нови активи отч.год.'!$B$61:$B$108,$B133,'11.2. Нови активи отч.год.'!$E$61:$E$108)+SUMIF('11.2. Нови активи отч.год.'!$B$61:$B$108,$B133,'11.2. Нови активи отч.год.'!I$61:I$108)+SUMIF('11.1.Амортиз.нови активи'!$B$60:$B$107,$B133,'11.1.Амортиз.нови активи'!I$60:I$107)+('11.1.Амортиз.нови активи'!I$109*SUMIF('11.1.Амортиз.нови активи'!$B$60:$B$107,$B133,'11.1.Амортиз.нови активи'!AD$60:AD$107))</f>
        <v>3.4</v>
      </c>
      <c r="J133" s="894">
        <f>$E133-SUMIF('11.2. Нови активи отч.год.'!$B$61:$B$108,$B133,'11.2. Нови активи отч.год.'!$E$61:$E$108)+SUMIF('11.2. Нови активи отч.год.'!$B$61:$B$108,$B133,'11.2. Нови активи отч.год.'!J$61:J$108)+SUMIF('11.1.Амортиз.нови активи'!$B$60:$B$107,$B133,'11.1.Амортиз.нови активи'!J$60:J$107)+('11.1.Амортиз.нови активи'!J$109*SUMIF('11.1.Амортиз.нови активи'!$B$60:$B$107,$B133,'11.1.Амортиз.нови активи'!AE$60:AE$107))</f>
        <v>3.4</v>
      </c>
      <c r="K133" s="894">
        <f>$E133-SUMIF('11.2. Нови активи отч.год.'!$B$61:$B$108,$B133,'11.2. Нови активи отч.год.'!$E$61:$E$108)+SUMIF('11.2. Нови активи отч.год.'!$B$61:$B$108,$B133,'11.2. Нови активи отч.год.'!K$61:K$108)+SUMIF('11.1.Амортиз.нови активи'!$B$60:$B$107,$B133,'11.1.Амортиз.нови активи'!K$60:K$107)+('11.1.Амортиз.нови активи'!K$109*SUMIF('11.1.Амортиз.нови активи'!$B$60:$B$107,$B133,'11.1.Амортиз.нови активи'!AF$60:AF$107))</f>
        <v>3.4</v>
      </c>
      <c r="L133" s="2246">
        <v>0</v>
      </c>
      <c r="M133" s="893">
        <f>$L133-SUMIF('11.2. Нови активи отч.год.'!$B$61:$B$108,$B133,'11.2. Нови активи отч.год.'!$L$61:$L$108)+SUMIF('11.2. Нови активи отч.год.'!$B$61:$B$108,$B133,'11.2. Нови активи отч.год.'!M$61:M$108)+SUMIF('11.1.Амортиз.нови активи'!$B$60:$B$107,$B133,'11.1.Амортиз.нови активи'!M$60:M$107)+('11.1.Амортиз.нови активи'!F$110*SUMIF('11.1.Амортиз.нови активи'!$B$60:$B$107,$B133,'11.1.Амортиз.нови активи'!AA$60:AA$107))</f>
        <v>0</v>
      </c>
      <c r="N133" s="894">
        <f>$L133-SUMIF('11.2. Нови активи отч.год.'!$B$61:$B$108,$B133,'11.2. Нови активи отч.год.'!$L$61:$L$108)+SUMIF('11.2. Нови активи отч.год.'!$B$61:$B$108,$B133,'11.2. Нови активи отч.год.'!N$61:N$108)+SUMIF('11.1.Амортиз.нови активи'!$B$60:$B$107,$B133,'11.1.Амортиз.нови активи'!N$60:N$107)+('11.1.Амортиз.нови активи'!G$110*SUMIF('11.1.Амортиз.нови активи'!$B$60:$B$107,$B133,'11.1.Амортиз.нови активи'!AB$60:AB$107))</f>
        <v>0</v>
      </c>
      <c r="O133" s="894">
        <f>$L133-SUMIF('11.2. Нови активи отч.год.'!$B$61:$B$108,$B133,'11.2. Нови активи отч.год.'!$L$61:$L$108)+SUMIF('11.2. Нови активи отч.год.'!$B$61:$B$108,$B133,'11.2. Нови активи отч.год.'!O$61:O$108)+SUMIF('11.1.Амортиз.нови активи'!$B$60:$B$107,$B133,'11.1.Амортиз.нови активи'!O$60:O$107)+('11.1.Амортиз.нови активи'!H$110*SUMIF('11.1.Амортиз.нови активи'!$B$60:$B$107,$B133,'11.1.Амортиз.нови активи'!AC$60:AC$107))</f>
        <v>0</v>
      </c>
      <c r="P133" s="894">
        <f>$L133-SUMIF('11.2. Нови активи отч.год.'!$B$61:$B$108,$B133,'11.2. Нови активи отч.год.'!$L$61:$L$108)+SUMIF('11.2. Нови активи отч.год.'!$B$61:$B$108,$B133,'11.2. Нови активи отч.год.'!P$61:P$108)+SUMIF('11.1.Амортиз.нови активи'!$B$60:$B$107,$B133,'11.1.Амортиз.нови активи'!P$60:P$107)+('11.1.Амортиз.нови активи'!I$110*SUMIF('11.1.Амортиз.нови активи'!$B$60:$B$107,$B133,'11.1.Амортиз.нови активи'!AD$60:AD$107))</f>
        <v>0</v>
      </c>
      <c r="Q133" s="894">
        <f>$L133-SUMIF('11.2. Нови активи отч.год.'!$B$61:$B$108,$B133,'11.2. Нови активи отч.год.'!$L$61:$L$108)+SUMIF('11.2. Нови активи отч.год.'!$B$61:$B$108,$B133,'11.2. Нови активи отч.год.'!Q$61:Q$108)+SUMIF('11.1.Амортиз.нови активи'!$B$60:$B$107,$B133,'11.1.Амортиз.нови активи'!Q$60:Q$107)+('11.1.Амортиз.нови активи'!J$110*SUMIF('11.1.Амортиз.нови активи'!$B$60:$B$107,$B133,'11.1.Амортиз.нови активи'!AE$60:AE$107))</f>
        <v>0</v>
      </c>
      <c r="R133" s="895">
        <f>$L133-SUMIF('11.2. Нови активи отч.год.'!$B$61:$B$108,$B133,'11.2. Нови активи отч.год.'!$L$61:$L$108)+SUMIF('11.2. Нови активи отч.год.'!$B$61:$B$108,$B133,'11.2. Нови активи отч.год.'!R$61:R$108)+SUMIF('11.1.Амортиз.нови активи'!$B$60:$B$107,$B133,'11.1.Амортиз.нови активи'!R$60:R$107)+('11.1.Амортиз.нови активи'!K$110*SUMIF('11.1.Амортиз.нови активи'!$B$60:$B$107,$B133,'11.1.Амортиз.нови активи'!AF$60:AF$107))</f>
        <v>0</v>
      </c>
      <c r="S133" s="2246">
        <v>0</v>
      </c>
      <c r="T133" s="893">
        <f>$S133-SUMIF('11.2. Нови активи отч.год.'!$B$61:$B$108,$B133,'11.2. Нови активи отч.год.'!$S$61:$S$108)+SUMIF('11.2. Нови активи отч.год.'!$B$61:$B$108,$B133,'11.2. Нови активи отч.год.'!T$61:T$108)+SUMIF('11.1.Амортиз.нови активи'!$B$60:$B$107,$B133,'11.1.Амортиз.нови активи'!T$60:T$107)+('11.1.Амортиз.нови активи'!F$111*SUMIF('11.1.Амортиз.нови активи'!$B$60:$B$107,$B133,'11.1.Амортиз.нови активи'!AA$60:AA$107))</f>
        <v>0</v>
      </c>
      <c r="U133" s="894">
        <f>$S133-SUMIF('11.2. Нови активи отч.год.'!$B$61:$B$108,$B133,'11.2. Нови активи отч.год.'!$S$61:$S$108)+SUMIF('11.2. Нови активи отч.год.'!$B$61:$B$108,$B133,'11.2. Нови активи отч.год.'!U$61:U$108)+SUMIF('11.1.Амортиз.нови активи'!$B$60:$B$107,$B133,'11.1.Амортиз.нови активи'!U$60:U$107)+('11.1.Амортиз.нови активи'!G$111*SUMIF('11.1.Амортиз.нови активи'!$B$60:$B$107,$B133,'11.1.Амортиз.нови активи'!AB$60:AB$107))</f>
        <v>0</v>
      </c>
      <c r="V133" s="894">
        <f>$S133-SUMIF('11.2. Нови активи отч.год.'!$B$61:$B$108,$B133,'11.2. Нови активи отч.год.'!$S$61:$S$108)+SUMIF('11.2. Нови активи отч.год.'!$B$61:$B$108,$B133,'11.2. Нови активи отч.год.'!V$61:V$108)+SUMIF('11.1.Амортиз.нови активи'!$B$60:$B$107,$B133,'11.1.Амортиз.нови активи'!V$60:V$107)+('11.1.Амортиз.нови активи'!H$111*SUMIF('11.1.Амортиз.нови активи'!$B$60:$B$107,$B133,'11.1.Амортиз.нови активи'!AC$60:AC$107))</f>
        <v>0</v>
      </c>
      <c r="W133" s="894">
        <f>$S133-SUMIF('11.2. Нови активи отч.год.'!$B$61:$B$108,$B133,'11.2. Нови активи отч.год.'!$S$61:$S$108)+SUMIF('11.2. Нови активи отч.год.'!$B$61:$B$108,$B133,'11.2. Нови активи отч.год.'!W$61:W$108)+SUMIF('11.1.Амортиз.нови активи'!$B$60:$B$107,$B133,'11.1.Амортиз.нови активи'!W$60:W$107)+('11.1.Амортиз.нови активи'!I$111*SUMIF('11.1.Амортиз.нови активи'!$B$60:$B$107,$B133,'11.1.Амортиз.нови активи'!AD$60:AD$107))</f>
        <v>0</v>
      </c>
      <c r="X133" s="894">
        <f>$S133-SUMIF('11.2. Нови активи отч.год.'!$B$61:$B$108,$B133,'11.2. Нови активи отч.год.'!$S$61:$S$108)+SUMIF('11.2. Нови активи отч.год.'!$B$61:$B$108,$B133,'11.2. Нови активи отч.год.'!X$61:X$108)+SUMIF('11.1.Амортиз.нови активи'!$B$60:$B$107,$B133,'11.1.Амортиз.нови активи'!X$60:X$107)+('11.1.Амортиз.нови активи'!J$111*SUMIF('11.1.Амортиз.нови активи'!$B$60:$B$107,$B133,'11.1.Амортиз.нови активи'!AE$60:AE$107))</f>
        <v>0</v>
      </c>
      <c r="Y133" s="895">
        <f>$S133-SUMIF('11.2. Нови активи отч.год.'!$B$61:$B$108,$B133,'11.2. Нови активи отч.год.'!$S$61:$S$108)+SUMIF('11.2. Нови активи отч.год.'!$B$61:$B$108,$B133,'11.2. Нови активи отч.год.'!Y$61:Y$108)+SUMIF('11.1.Амортиз.нови активи'!$B$60:$B$107,$B133,'11.1.Амортиз.нови активи'!Y$60:Y$107)+('11.1.Амортиз.нови активи'!K$111*SUMIF('11.1.Амортиз.нови активи'!$B$60:$B$107,$B133,'11.1.Амортиз.нови активи'!AF$60:AF$107))</f>
        <v>0</v>
      </c>
      <c r="Z133" s="1672"/>
      <c r="AA133" s="1703"/>
      <c r="AB133" s="1727"/>
    </row>
    <row r="134" spans="1:28" s="1643" customFormat="1">
      <c r="A134" s="1674">
        <v>4</v>
      </c>
      <c r="B134" s="1675">
        <v>2030402</v>
      </c>
      <c r="C134" s="1680">
        <v>0.1</v>
      </c>
      <c r="D134" s="1626" t="s">
        <v>601</v>
      </c>
      <c r="E134" s="2246">
        <v>0</v>
      </c>
      <c r="F134" s="893">
        <f>$E134-SUMIF('11.2. Нови активи отч.год.'!$B$61:$B$108,$B134,'11.2. Нови активи отч.год.'!$E$61:$E$108)+SUMIF('11.2. Нови активи отч.год.'!$B$61:$B$108,$B134,'11.2. Нови активи отч.год.'!F$61:F$108)+SUMIF('11.1.Амортиз.нови активи'!$B$60:$B$107,$B134,'11.1.Амортиз.нови активи'!F$60:F$107)+('11.1.Амортиз.нови активи'!F$109*SUMIF('11.1.Амортиз.нови активи'!$B$60:$B$107,$B134,'11.1.Амортиз.нови активи'!AA$60:AA$107))</f>
        <v>0</v>
      </c>
      <c r="G134" s="894">
        <f>$E134-SUMIF('11.2. Нови активи отч.год.'!$B$61:$B$108,$B134,'11.2. Нови активи отч.год.'!$E$61:$E$108)+SUMIF('11.2. Нови активи отч.год.'!$B$61:$B$108,$B134,'11.2. Нови активи отч.год.'!G$61:G$108)+SUMIF('11.1.Амортиз.нови активи'!$B$60:$B$107,$B134,'11.1.Амортиз.нови активи'!G$60:G$107)+('11.1.Амортиз.нови активи'!G$109*SUMIF('11.1.Амортиз.нови активи'!$B$60:$B$107,$B134,'11.1.Амортиз.нови активи'!AB$60:AB$107))</f>
        <v>0</v>
      </c>
      <c r="H134" s="894">
        <f>$E134-SUMIF('11.2. Нови активи отч.год.'!$B$61:$B$108,$B134,'11.2. Нови активи отч.год.'!$E$61:$E$108)+SUMIF('11.2. Нови активи отч.год.'!$B$61:$B$108,$B134,'11.2. Нови активи отч.год.'!H$61:H$108)+SUMIF('11.1.Амортиз.нови активи'!$B$60:$B$107,$B134,'11.1.Амортиз.нови активи'!H$60:H$107)+('11.1.Амортиз.нови активи'!H$109*SUMIF('11.1.Амортиз.нови активи'!$B$60:$B$107,$B134,'11.1.Амортиз.нови активи'!AC$60:AC$107))</f>
        <v>0</v>
      </c>
      <c r="I134" s="894">
        <f>$E134-SUMIF('11.2. Нови активи отч.год.'!$B$61:$B$108,$B134,'11.2. Нови активи отч.год.'!$E$61:$E$108)+SUMIF('11.2. Нови активи отч.год.'!$B$61:$B$108,$B134,'11.2. Нови активи отч.год.'!I$61:I$108)+SUMIF('11.1.Амортиз.нови активи'!$B$60:$B$107,$B134,'11.1.Амортиз.нови активи'!I$60:I$107)+('11.1.Амортиз.нови активи'!I$109*SUMIF('11.1.Амортиз.нови активи'!$B$60:$B$107,$B134,'11.1.Амортиз.нови активи'!AD$60:AD$107))</f>
        <v>0</v>
      </c>
      <c r="J134" s="894">
        <f>$E134-SUMIF('11.2. Нови активи отч.год.'!$B$61:$B$108,$B134,'11.2. Нови активи отч.год.'!$E$61:$E$108)+SUMIF('11.2. Нови активи отч.год.'!$B$61:$B$108,$B134,'11.2. Нови активи отч.год.'!J$61:J$108)+SUMIF('11.1.Амортиз.нови активи'!$B$60:$B$107,$B134,'11.1.Амортиз.нови активи'!J$60:J$107)+('11.1.Амортиз.нови активи'!J$109*SUMIF('11.1.Амортиз.нови активи'!$B$60:$B$107,$B134,'11.1.Амортиз.нови активи'!AE$60:AE$107))</f>
        <v>0</v>
      </c>
      <c r="K134" s="894">
        <f>$E134-SUMIF('11.2. Нови активи отч.год.'!$B$61:$B$108,$B134,'11.2. Нови активи отч.год.'!$E$61:$E$108)+SUMIF('11.2. Нови активи отч.год.'!$B$61:$B$108,$B134,'11.2. Нови активи отч.год.'!K$61:K$108)+SUMIF('11.1.Амортиз.нови активи'!$B$60:$B$107,$B134,'11.1.Амортиз.нови активи'!K$60:K$107)+('11.1.Амортиз.нови активи'!K$109*SUMIF('11.1.Амортиз.нови активи'!$B$60:$B$107,$B134,'11.1.Амортиз.нови активи'!AF$60:AF$107))</f>
        <v>0</v>
      </c>
      <c r="L134" s="2246">
        <v>0</v>
      </c>
      <c r="M134" s="893">
        <f>$L134-SUMIF('11.2. Нови активи отч.год.'!$B$61:$B$108,$B134,'11.2. Нови активи отч.год.'!$L$61:$L$108)+SUMIF('11.2. Нови активи отч.год.'!$B$61:$B$108,$B134,'11.2. Нови активи отч.год.'!M$61:M$108)+SUMIF('11.1.Амортиз.нови активи'!$B$60:$B$107,$B134,'11.1.Амортиз.нови активи'!M$60:M$107)+('11.1.Амортиз.нови активи'!F$110*SUMIF('11.1.Амортиз.нови активи'!$B$60:$B$107,$B134,'11.1.Амортиз.нови активи'!AA$60:AA$107))</f>
        <v>0</v>
      </c>
      <c r="N134" s="894">
        <f>$L134-SUMIF('11.2. Нови активи отч.год.'!$B$61:$B$108,$B134,'11.2. Нови активи отч.год.'!$L$61:$L$108)+SUMIF('11.2. Нови активи отч.год.'!$B$61:$B$108,$B134,'11.2. Нови активи отч.год.'!N$61:N$108)+SUMIF('11.1.Амортиз.нови активи'!$B$60:$B$107,$B134,'11.1.Амортиз.нови активи'!N$60:N$107)+('11.1.Амортиз.нови активи'!G$110*SUMIF('11.1.Амортиз.нови активи'!$B$60:$B$107,$B134,'11.1.Амортиз.нови активи'!AB$60:AB$107))</f>
        <v>0</v>
      </c>
      <c r="O134" s="894">
        <f>$L134-SUMIF('11.2. Нови активи отч.год.'!$B$61:$B$108,$B134,'11.2. Нови активи отч.год.'!$L$61:$L$108)+SUMIF('11.2. Нови активи отч.год.'!$B$61:$B$108,$B134,'11.2. Нови активи отч.год.'!O$61:O$108)+SUMIF('11.1.Амортиз.нови активи'!$B$60:$B$107,$B134,'11.1.Амортиз.нови активи'!O$60:O$107)+('11.1.Амортиз.нови активи'!H$110*SUMIF('11.1.Амортиз.нови активи'!$B$60:$B$107,$B134,'11.1.Амортиз.нови активи'!AC$60:AC$107))</f>
        <v>0</v>
      </c>
      <c r="P134" s="894">
        <f>$L134-SUMIF('11.2. Нови активи отч.год.'!$B$61:$B$108,$B134,'11.2. Нови активи отч.год.'!$L$61:$L$108)+SUMIF('11.2. Нови активи отч.год.'!$B$61:$B$108,$B134,'11.2. Нови активи отч.год.'!P$61:P$108)+SUMIF('11.1.Амортиз.нови активи'!$B$60:$B$107,$B134,'11.1.Амортиз.нови активи'!P$60:P$107)+('11.1.Амортиз.нови активи'!I$110*SUMIF('11.1.Амортиз.нови активи'!$B$60:$B$107,$B134,'11.1.Амортиз.нови активи'!AD$60:AD$107))</f>
        <v>0</v>
      </c>
      <c r="Q134" s="894">
        <f>$L134-SUMIF('11.2. Нови активи отч.год.'!$B$61:$B$108,$B134,'11.2. Нови активи отч.год.'!$L$61:$L$108)+SUMIF('11.2. Нови активи отч.год.'!$B$61:$B$108,$B134,'11.2. Нови активи отч.год.'!Q$61:Q$108)+SUMIF('11.1.Амортиз.нови активи'!$B$60:$B$107,$B134,'11.1.Амортиз.нови активи'!Q$60:Q$107)+('11.1.Амортиз.нови активи'!J$110*SUMIF('11.1.Амортиз.нови активи'!$B$60:$B$107,$B134,'11.1.Амортиз.нови активи'!AE$60:AE$107))</f>
        <v>0</v>
      </c>
      <c r="R134" s="895">
        <f>$L134-SUMIF('11.2. Нови активи отч.год.'!$B$61:$B$108,$B134,'11.2. Нови активи отч.год.'!$L$61:$L$108)+SUMIF('11.2. Нови активи отч.год.'!$B$61:$B$108,$B134,'11.2. Нови активи отч.год.'!R$61:R$108)+SUMIF('11.1.Амортиз.нови активи'!$B$60:$B$107,$B134,'11.1.Амортиз.нови активи'!R$60:R$107)+('11.1.Амортиз.нови активи'!K$110*SUMIF('11.1.Амортиз.нови активи'!$B$60:$B$107,$B134,'11.1.Амортиз.нови активи'!AF$60:AF$107))</f>
        <v>0</v>
      </c>
      <c r="S134" s="2246">
        <v>0</v>
      </c>
      <c r="T134" s="893">
        <f>$S134-SUMIF('11.2. Нови активи отч.год.'!$B$61:$B$108,$B134,'11.2. Нови активи отч.год.'!$S$61:$S$108)+SUMIF('11.2. Нови активи отч.год.'!$B$61:$B$108,$B134,'11.2. Нови активи отч.год.'!T$61:T$108)+SUMIF('11.1.Амортиз.нови активи'!$B$60:$B$107,$B134,'11.1.Амортиз.нови активи'!T$60:T$107)+('11.1.Амортиз.нови активи'!F$111*SUMIF('11.1.Амортиз.нови активи'!$B$60:$B$107,$B134,'11.1.Амортиз.нови активи'!AA$60:AA$107))</f>
        <v>0</v>
      </c>
      <c r="U134" s="894">
        <f>$S134-SUMIF('11.2. Нови активи отч.год.'!$B$61:$B$108,$B134,'11.2. Нови активи отч.год.'!$S$61:$S$108)+SUMIF('11.2. Нови активи отч.год.'!$B$61:$B$108,$B134,'11.2. Нови активи отч.год.'!U$61:U$108)+SUMIF('11.1.Амортиз.нови активи'!$B$60:$B$107,$B134,'11.1.Амортиз.нови активи'!U$60:U$107)+('11.1.Амортиз.нови активи'!G$111*SUMIF('11.1.Амортиз.нови активи'!$B$60:$B$107,$B134,'11.1.Амортиз.нови активи'!AB$60:AB$107))</f>
        <v>0</v>
      </c>
      <c r="V134" s="894">
        <f>$S134-SUMIF('11.2. Нови активи отч.год.'!$B$61:$B$108,$B134,'11.2. Нови активи отч.год.'!$S$61:$S$108)+SUMIF('11.2. Нови активи отч.год.'!$B$61:$B$108,$B134,'11.2. Нови активи отч.год.'!V$61:V$108)+SUMIF('11.1.Амортиз.нови активи'!$B$60:$B$107,$B134,'11.1.Амортиз.нови активи'!V$60:V$107)+('11.1.Амортиз.нови активи'!H$111*SUMIF('11.1.Амортиз.нови активи'!$B$60:$B$107,$B134,'11.1.Амортиз.нови активи'!AC$60:AC$107))</f>
        <v>0</v>
      </c>
      <c r="W134" s="894">
        <f>$S134-SUMIF('11.2. Нови активи отч.год.'!$B$61:$B$108,$B134,'11.2. Нови активи отч.год.'!$S$61:$S$108)+SUMIF('11.2. Нови активи отч.год.'!$B$61:$B$108,$B134,'11.2. Нови активи отч.год.'!W$61:W$108)+SUMIF('11.1.Амортиз.нови активи'!$B$60:$B$107,$B134,'11.1.Амортиз.нови активи'!W$60:W$107)+('11.1.Амортиз.нови активи'!I$111*SUMIF('11.1.Амортиз.нови активи'!$B$60:$B$107,$B134,'11.1.Амортиз.нови активи'!AD$60:AD$107))</f>
        <v>0</v>
      </c>
      <c r="X134" s="894">
        <f>$S134-SUMIF('11.2. Нови активи отч.год.'!$B$61:$B$108,$B134,'11.2. Нови активи отч.год.'!$S$61:$S$108)+SUMIF('11.2. Нови активи отч.год.'!$B$61:$B$108,$B134,'11.2. Нови активи отч.год.'!X$61:X$108)+SUMIF('11.1.Амортиз.нови активи'!$B$60:$B$107,$B134,'11.1.Амортиз.нови активи'!X$60:X$107)+('11.1.Амортиз.нови активи'!J$111*SUMIF('11.1.Амортиз.нови активи'!$B$60:$B$107,$B134,'11.1.Амортиз.нови активи'!AE$60:AE$107))</f>
        <v>0</v>
      </c>
      <c r="Y134" s="895">
        <f>$S134-SUMIF('11.2. Нови активи отч.год.'!$B$61:$B$108,$B134,'11.2. Нови активи отч.год.'!$S$61:$S$108)+SUMIF('11.2. Нови активи отч.год.'!$B$61:$B$108,$B134,'11.2. Нови активи отч.год.'!Y$61:Y$108)+SUMIF('11.1.Амортиз.нови активи'!$B$60:$B$107,$B134,'11.1.Амортиз.нови активи'!Y$60:Y$107)+('11.1.Амортиз.нови активи'!K$111*SUMIF('11.1.Амортиз.нови активи'!$B$60:$B$107,$B134,'11.1.Амортиз.нови активи'!AF$60:AF$107))</f>
        <v>0</v>
      </c>
      <c r="Z134" s="1672"/>
      <c r="AA134" s="1703"/>
      <c r="AB134" s="1727"/>
    </row>
    <row r="135" spans="1:28" s="1643" customFormat="1">
      <c r="A135" s="1674">
        <v>5</v>
      </c>
      <c r="B135" s="1675">
        <v>2030501</v>
      </c>
      <c r="C135" s="1680">
        <v>0.1</v>
      </c>
      <c r="D135" s="1626" t="s">
        <v>580</v>
      </c>
      <c r="E135" s="2246">
        <v>0</v>
      </c>
      <c r="F135" s="893">
        <f>$E135-SUMIF('11.2. Нови активи отч.год.'!$B$61:$B$108,$B135,'11.2. Нови активи отч.год.'!$E$61:$E$108)+SUMIF('11.2. Нови активи отч.год.'!$B$61:$B$108,$B135,'11.2. Нови активи отч.год.'!F$61:F$108)+SUMIF('11.1.Амортиз.нови активи'!$B$60:$B$107,$B135,'11.1.Амортиз.нови активи'!F$60:F$107)+('11.1.Амортиз.нови активи'!F$109*SUMIF('11.1.Амортиз.нови активи'!$B$60:$B$107,$B135,'11.1.Амортиз.нови активи'!AA$60:AA$107))</f>
        <v>16.16</v>
      </c>
      <c r="G135" s="894">
        <f>$E135-SUMIF('11.2. Нови активи отч.год.'!$B$61:$B$108,$B135,'11.2. Нови активи отч.год.'!$E$61:$E$108)+SUMIF('11.2. Нови активи отч.год.'!$B$61:$B$108,$B135,'11.2. Нови активи отч.год.'!G$61:G$108)+SUMIF('11.1.Амортиз.нови активи'!$B$60:$B$107,$B135,'11.1.Амортиз.нови активи'!G$60:G$107)+('11.1.Амортиз.нови активи'!G$109*SUMIF('11.1.Амортиз.нови активи'!$B$60:$B$107,$B135,'11.1.Амортиз.нови активи'!AB$60:AB$107))</f>
        <v>30.16</v>
      </c>
      <c r="H135" s="894">
        <f>$E135-SUMIF('11.2. Нови активи отч.год.'!$B$61:$B$108,$B135,'11.2. Нови активи отч.год.'!$E$61:$E$108)+SUMIF('11.2. Нови активи отч.год.'!$B$61:$B$108,$B135,'11.2. Нови активи отч.год.'!H$61:H$108)+SUMIF('11.1.Амортиз.нови активи'!$B$60:$B$107,$B135,'11.1.Амортиз.нови активи'!H$60:H$107)+('11.1.Амортиз.нови активи'!H$109*SUMIF('11.1.Амортиз.нови активи'!$B$60:$B$107,$B135,'11.1.Амортиз.нови активи'!AC$60:AC$107))</f>
        <v>35.159999999999997</v>
      </c>
      <c r="I135" s="894">
        <f>$E135-SUMIF('11.2. Нови активи отч.год.'!$B$61:$B$108,$B135,'11.2. Нови активи отч.год.'!$E$61:$E$108)+SUMIF('11.2. Нови активи отч.год.'!$B$61:$B$108,$B135,'11.2. Нови активи отч.год.'!I$61:I$108)+SUMIF('11.1.Амортиз.нови активи'!$B$60:$B$107,$B135,'11.1.Амортиз.нови активи'!I$60:I$107)+('11.1.Амортиз.нови активи'!I$109*SUMIF('11.1.Амортиз.нови активи'!$B$60:$B$107,$B135,'11.1.Амортиз.нови активи'!AD$60:AD$107))</f>
        <v>40.159999999999997</v>
      </c>
      <c r="J135" s="894">
        <f>$E135-SUMIF('11.2. Нови активи отч.год.'!$B$61:$B$108,$B135,'11.2. Нови активи отч.год.'!$E$61:$E$108)+SUMIF('11.2. Нови активи отч.год.'!$B$61:$B$108,$B135,'11.2. Нови активи отч.год.'!J$61:J$108)+SUMIF('11.1.Амортиз.нови активи'!$B$60:$B$107,$B135,'11.1.Амортиз.нови активи'!J$60:J$107)+('11.1.Амортиз.нови активи'!J$109*SUMIF('11.1.Амортиз.нови активи'!$B$60:$B$107,$B135,'11.1.Амортиз.нови активи'!AE$60:AE$107))</f>
        <v>44.16</v>
      </c>
      <c r="K135" s="894">
        <f>$E135-SUMIF('11.2. Нови активи отч.год.'!$B$61:$B$108,$B135,'11.2. Нови активи отч.год.'!$E$61:$E$108)+SUMIF('11.2. Нови активи отч.год.'!$B$61:$B$108,$B135,'11.2. Нови активи отч.год.'!K$61:K$108)+SUMIF('11.1.Амортиз.нови активи'!$B$60:$B$107,$B135,'11.1.Амортиз.нови активи'!K$60:K$107)+('11.1.Амортиз.нови активи'!K$109*SUMIF('11.1.Амортиз.нови активи'!$B$60:$B$107,$B135,'11.1.Амортиз.нови активи'!AF$60:AF$107))</f>
        <v>47.16</v>
      </c>
      <c r="L135" s="2246">
        <v>0</v>
      </c>
      <c r="M135" s="893">
        <f>$L135-SUMIF('11.2. Нови активи отч.год.'!$B$61:$B$108,$B135,'11.2. Нови активи отч.год.'!$L$61:$L$108)+SUMIF('11.2. Нови активи отч.год.'!$B$61:$B$108,$B135,'11.2. Нови активи отч.год.'!M$61:M$108)+SUMIF('11.1.Амортиз.нови активи'!$B$60:$B$107,$B135,'11.1.Амортиз.нови активи'!M$60:M$107)+('11.1.Амортиз.нови активи'!F$110*SUMIF('11.1.Амортиз.нови активи'!$B$60:$B$107,$B135,'11.1.Амортиз.нови активи'!AA$60:AA$107))</f>
        <v>0</v>
      </c>
      <c r="N135" s="894">
        <f>$L135-SUMIF('11.2. Нови активи отч.год.'!$B$61:$B$108,$B135,'11.2. Нови активи отч.год.'!$L$61:$L$108)+SUMIF('11.2. Нови активи отч.год.'!$B$61:$B$108,$B135,'11.2. Нови активи отч.год.'!N$61:N$108)+SUMIF('11.1.Амортиз.нови активи'!$B$60:$B$107,$B135,'11.1.Амортиз.нови активи'!N$60:N$107)+('11.1.Амортиз.нови активи'!G$110*SUMIF('11.1.Амортиз.нови активи'!$B$60:$B$107,$B135,'11.1.Амортиз.нови активи'!AB$60:AB$107))</f>
        <v>0</v>
      </c>
      <c r="O135" s="894">
        <f>$L135-SUMIF('11.2. Нови активи отч.год.'!$B$61:$B$108,$B135,'11.2. Нови активи отч.год.'!$L$61:$L$108)+SUMIF('11.2. Нови активи отч.год.'!$B$61:$B$108,$B135,'11.2. Нови активи отч.год.'!O$61:O$108)+SUMIF('11.1.Амортиз.нови активи'!$B$60:$B$107,$B135,'11.1.Амортиз.нови активи'!O$60:O$107)+('11.1.Амортиз.нови активи'!H$110*SUMIF('11.1.Амортиз.нови активи'!$B$60:$B$107,$B135,'11.1.Амортиз.нови активи'!AC$60:AC$107))</f>
        <v>0</v>
      </c>
      <c r="P135" s="894">
        <f>$L135-SUMIF('11.2. Нови активи отч.год.'!$B$61:$B$108,$B135,'11.2. Нови активи отч.год.'!$L$61:$L$108)+SUMIF('11.2. Нови активи отч.год.'!$B$61:$B$108,$B135,'11.2. Нови активи отч.год.'!P$61:P$108)+SUMIF('11.1.Амортиз.нови активи'!$B$60:$B$107,$B135,'11.1.Амортиз.нови активи'!P$60:P$107)+('11.1.Амортиз.нови активи'!I$110*SUMIF('11.1.Амортиз.нови активи'!$B$60:$B$107,$B135,'11.1.Амортиз.нови активи'!AD$60:AD$107))</f>
        <v>0</v>
      </c>
      <c r="Q135" s="894">
        <f>$L135-SUMIF('11.2. Нови активи отч.год.'!$B$61:$B$108,$B135,'11.2. Нови активи отч.год.'!$L$61:$L$108)+SUMIF('11.2. Нови активи отч.год.'!$B$61:$B$108,$B135,'11.2. Нови активи отч.год.'!Q$61:Q$108)+SUMIF('11.1.Амортиз.нови активи'!$B$60:$B$107,$B135,'11.1.Амортиз.нови активи'!Q$60:Q$107)+('11.1.Амортиз.нови активи'!J$110*SUMIF('11.1.Амортиз.нови активи'!$B$60:$B$107,$B135,'11.1.Амортиз.нови активи'!AE$60:AE$107))</f>
        <v>0</v>
      </c>
      <c r="R135" s="895">
        <f>$L135-SUMIF('11.2. Нови активи отч.год.'!$B$61:$B$108,$B135,'11.2. Нови активи отч.год.'!$L$61:$L$108)+SUMIF('11.2. Нови активи отч.год.'!$B$61:$B$108,$B135,'11.2. Нови активи отч.год.'!R$61:R$108)+SUMIF('11.1.Амортиз.нови активи'!$B$60:$B$107,$B135,'11.1.Амортиз.нови активи'!R$60:R$107)+('11.1.Амортиз.нови активи'!K$110*SUMIF('11.1.Амортиз.нови активи'!$B$60:$B$107,$B135,'11.1.Амортиз.нови активи'!AF$60:AF$107))</f>
        <v>0</v>
      </c>
      <c r="S135" s="2246">
        <v>0</v>
      </c>
      <c r="T135" s="893">
        <f>$S135-SUMIF('11.2. Нови активи отч.год.'!$B$61:$B$108,$B135,'11.2. Нови активи отч.год.'!$S$61:$S$108)+SUMIF('11.2. Нови активи отч.год.'!$B$61:$B$108,$B135,'11.2. Нови активи отч.год.'!T$61:T$108)+SUMIF('11.1.Амортиз.нови активи'!$B$60:$B$107,$B135,'11.1.Амортиз.нови активи'!T$60:T$107)+('11.1.Амортиз.нови активи'!F$111*SUMIF('11.1.Амортиз.нови активи'!$B$60:$B$107,$B135,'11.1.Амортиз.нови активи'!AA$60:AA$107))</f>
        <v>0</v>
      </c>
      <c r="U135" s="894">
        <f>$S135-SUMIF('11.2. Нови активи отч.год.'!$B$61:$B$108,$B135,'11.2. Нови активи отч.год.'!$S$61:$S$108)+SUMIF('11.2. Нови активи отч.год.'!$B$61:$B$108,$B135,'11.2. Нови активи отч.год.'!U$61:U$108)+SUMIF('11.1.Амортиз.нови активи'!$B$60:$B$107,$B135,'11.1.Амортиз.нови активи'!U$60:U$107)+('11.1.Амортиз.нови активи'!G$111*SUMIF('11.1.Амортиз.нови активи'!$B$60:$B$107,$B135,'11.1.Амортиз.нови активи'!AB$60:AB$107))</f>
        <v>0</v>
      </c>
      <c r="V135" s="894">
        <f>$S135-SUMIF('11.2. Нови активи отч.год.'!$B$61:$B$108,$B135,'11.2. Нови активи отч.год.'!$S$61:$S$108)+SUMIF('11.2. Нови активи отч.год.'!$B$61:$B$108,$B135,'11.2. Нови активи отч.год.'!V$61:V$108)+SUMIF('11.1.Амортиз.нови активи'!$B$60:$B$107,$B135,'11.1.Амортиз.нови активи'!V$60:V$107)+('11.1.Амортиз.нови активи'!H$111*SUMIF('11.1.Амортиз.нови активи'!$B$60:$B$107,$B135,'11.1.Амортиз.нови активи'!AC$60:AC$107))</f>
        <v>0</v>
      </c>
      <c r="W135" s="894">
        <f>$S135-SUMIF('11.2. Нови активи отч.год.'!$B$61:$B$108,$B135,'11.2. Нови активи отч.год.'!$S$61:$S$108)+SUMIF('11.2. Нови активи отч.год.'!$B$61:$B$108,$B135,'11.2. Нови активи отч.год.'!W$61:W$108)+SUMIF('11.1.Амортиз.нови активи'!$B$60:$B$107,$B135,'11.1.Амортиз.нови активи'!W$60:W$107)+('11.1.Амортиз.нови активи'!I$111*SUMIF('11.1.Амортиз.нови активи'!$B$60:$B$107,$B135,'11.1.Амортиз.нови активи'!AD$60:AD$107))</f>
        <v>0</v>
      </c>
      <c r="X135" s="894">
        <f>$S135-SUMIF('11.2. Нови активи отч.год.'!$B$61:$B$108,$B135,'11.2. Нови активи отч.год.'!$S$61:$S$108)+SUMIF('11.2. Нови активи отч.год.'!$B$61:$B$108,$B135,'11.2. Нови активи отч.год.'!X$61:X$108)+SUMIF('11.1.Амортиз.нови активи'!$B$60:$B$107,$B135,'11.1.Амортиз.нови активи'!X$60:X$107)+('11.1.Амортиз.нови активи'!J$111*SUMIF('11.1.Амортиз.нови активи'!$B$60:$B$107,$B135,'11.1.Амортиз.нови активи'!AE$60:AE$107))</f>
        <v>0</v>
      </c>
      <c r="Y135" s="895">
        <f>$S135-SUMIF('11.2. Нови активи отч.год.'!$B$61:$B$108,$B135,'11.2. Нови активи отч.год.'!$S$61:$S$108)+SUMIF('11.2. Нови активи отч.год.'!$B$61:$B$108,$B135,'11.2. Нови активи отч.год.'!Y$61:Y$108)+SUMIF('11.1.Амортиз.нови активи'!$B$60:$B$107,$B135,'11.1.Амортиз.нови активи'!Y$60:Y$107)+('11.1.Амортиз.нови активи'!K$111*SUMIF('11.1.Амортиз.нови активи'!$B$60:$B$107,$B135,'11.1.Амортиз.нови активи'!AF$60:AF$107))</f>
        <v>0</v>
      </c>
      <c r="Z135" s="1681"/>
      <c r="AA135" s="1703"/>
      <c r="AB135" s="1727"/>
    </row>
    <row r="136" spans="1:28" s="1643" customFormat="1" ht="24">
      <c r="A136" s="1674">
        <v>6</v>
      </c>
      <c r="B136" s="1675">
        <v>2030502</v>
      </c>
      <c r="C136" s="1680">
        <v>0.1</v>
      </c>
      <c r="D136" s="1626" t="s">
        <v>948</v>
      </c>
      <c r="E136" s="2246">
        <v>0</v>
      </c>
      <c r="F136" s="893">
        <f>$E136-SUMIF('11.2. Нови активи отч.год.'!$B$61:$B$108,$B136,'11.2. Нови активи отч.год.'!$E$61:$E$108)+SUMIF('11.2. Нови активи отч.год.'!$B$61:$B$108,$B136,'11.2. Нови активи отч.год.'!F$61:F$108)+SUMIF('11.1.Амортиз.нови активи'!$B$60:$B$107,$B136,'11.1.Амортиз.нови активи'!F$60:F$107)+('11.1.Амортиз.нови активи'!F$109*SUMIF('11.1.Амортиз.нови активи'!$B$60:$B$107,$B136,'11.1.Амортиз.нови активи'!AA$60:AA$107))</f>
        <v>15.8</v>
      </c>
      <c r="G136" s="894">
        <f>$E136-SUMIF('11.2. Нови активи отч.год.'!$B$61:$B$108,$B136,'11.2. Нови активи отч.год.'!$E$61:$E$108)+SUMIF('11.2. Нови активи отч.год.'!$B$61:$B$108,$B136,'11.2. Нови активи отч.год.'!G$61:G$108)+SUMIF('11.1.Амортиз.нови активи'!$B$60:$B$107,$B136,'11.1.Амортиз.нови активи'!G$60:G$107)+('11.1.Амортиз.нови активи'!G$109*SUMIF('11.1.Амортиз.нови активи'!$B$60:$B$107,$B136,'11.1.Амортиз.нови активи'!AB$60:AB$107))</f>
        <v>32.799999999999997</v>
      </c>
      <c r="H136" s="894">
        <f>$E136-SUMIF('11.2. Нови активи отч.год.'!$B$61:$B$108,$B136,'11.2. Нови активи отч.год.'!$E$61:$E$108)+SUMIF('11.2. Нови активи отч.год.'!$B$61:$B$108,$B136,'11.2. Нови активи отч.год.'!H$61:H$108)+SUMIF('11.1.Амортиз.нови активи'!$B$60:$B$107,$B136,'11.1.Амортиз.нови активи'!H$60:H$107)+('11.1.Амортиз.нови активи'!H$109*SUMIF('11.1.Амортиз.нови активи'!$B$60:$B$107,$B136,'11.1.Амортиз.нови активи'!AC$60:AC$107))</f>
        <v>37.799999999999997</v>
      </c>
      <c r="I136" s="894">
        <f>$E136-SUMIF('11.2. Нови активи отч.год.'!$B$61:$B$108,$B136,'11.2. Нови активи отч.год.'!$E$61:$E$108)+SUMIF('11.2. Нови активи отч.год.'!$B$61:$B$108,$B136,'11.2. Нови активи отч.год.'!I$61:I$108)+SUMIF('11.1.Амортиз.нови активи'!$B$60:$B$107,$B136,'11.1.Амортиз.нови активи'!I$60:I$107)+('11.1.Амортиз.нови активи'!I$109*SUMIF('11.1.Амортиз.нови активи'!$B$60:$B$107,$B136,'11.1.Амортиз.нови активи'!AD$60:AD$107))</f>
        <v>42.8</v>
      </c>
      <c r="J136" s="894">
        <f>$E136-SUMIF('11.2. Нови активи отч.год.'!$B$61:$B$108,$B136,'11.2. Нови активи отч.год.'!$E$61:$E$108)+SUMIF('11.2. Нови активи отч.год.'!$B$61:$B$108,$B136,'11.2. Нови активи отч.год.'!J$61:J$108)+SUMIF('11.1.Амортиз.нови активи'!$B$60:$B$107,$B136,'11.1.Амортиз.нови активи'!J$60:J$107)+('11.1.Амортиз.нови активи'!J$109*SUMIF('11.1.Амортиз.нови активи'!$B$60:$B$107,$B136,'11.1.Амортиз.нови активи'!AE$60:AE$107))</f>
        <v>46.8</v>
      </c>
      <c r="K136" s="894">
        <f>$E136-SUMIF('11.2. Нови активи отч.год.'!$B$61:$B$108,$B136,'11.2. Нови активи отч.год.'!$E$61:$E$108)+SUMIF('11.2. Нови активи отч.год.'!$B$61:$B$108,$B136,'11.2. Нови активи отч.год.'!K$61:K$108)+SUMIF('11.1.Амортиз.нови активи'!$B$60:$B$107,$B136,'11.1.Амортиз.нови активи'!K$60:K$107)+('11.1.Амортиз.нови активи'!K$109*SUMIF('11.1.Амортиз.нови активи'!$B$60:$B$107,$B136,'11.1.Амортиз.нови активи'!AF$60:AF$107))</f>
        <v>49.8</v>
      </c>
      <c r="L136" s="2246">
        <v>0</v>
      </c>
      <c r="M136" s="893">
        <f>$L136-SUMIF('11.2. Нови активи отч.год.'!$B$61:$B$108,$B136,'11.2. Нови активи отч.год.'!$L$61:$L$108)+SUMIF('11.2. Нови активи отч.год.'!$B$61:$B$108,$B136,'11.2. Нови активи отч.год.'!M$61:M$108)+SUMIF('11.1.Амортиз.нови активи'!$B$60:$B$107,$B136,'11.1.Амортиз.нови активи'!M$60:M$107)+('11.1.Амортиз.нови активи'!F$110*SUMIF('11.1.Амортиз.нови активи'!$B$60:$B$107,$B136,'11.1.Амортиз.нови активи'!AA$60:AA$107))</f>
        <v>0</v>
      </c>
      <c r="N136" s="894">
        <f>$L136-SUMIF('11.2. Нови активи отч.год.'!$B$61:$B$108,$B136,'11.2. Нови активи отч.год.'!$L$61:$L$108)+SUMIF('11.2. Нови активи отч.год.'!$B$61:$B$108,$B136,'11.2. Нови активи отч.год.'!N$61:N$108)+SUMIF('11.1.Амортиз.нови активи'!$B$60:$B$107,$B136,'11.1.Амортиз.нови активи'!N$60:N$107)+('11.1.Амортиз.нови активи'!G$110*SUMIF('11.1.Амортиз.нови активи'!$B$60:$B$107,$B136,'11.1.Амортиз.нови активи'!AB$60:AB$107))</f>
        <v>0</v>
      </c>
      <c r="O136" s="894">
        <f>$L136-SUMIF('11.2. Нови активи отч.год.'!$B$61:$B$108,$B136,'11.2. Нови активи отч.год.'!$L$61:$L$108)+SUMIF('11.2. Нови активи отч.год.'!$B$61:$B$108,$B136,'11.2. Нови активи отч.год.'!O$61:O$108)+SUMIF('11.1.Амортиз.нови активи'!$B$60:$B$107,$B136,'11.1.Амортиз.нови активи'!O$60:O$107)+('11.1.Амортиз.нови активи'!H$110*SUMIF('11.1.Амортиз.нови активи'!$B$60:$B$107,$B136,'11.1.Амортиз.нови активи'!AC$60:AC$107))</f>
        <v>0</v>
      </c>
      <c r="P136" s="894">
        <f>$L136-SUMIF('11.2. Нови активи отч.год.'!$B$61:$B$108,$B136,'11.2. Нови активи отч.год.'!$L$61:$L$108)+SUMIF('11.2. Нови активи отч.год.'!$B$61:$B$108,$B136,'11.2. Нови активи отч.год.'!P$61:P$108)+SUMIF('11.1.Амортиз.нови активи'!$B$60:$B$107,$B136,'11.1.Амортиз.нови активи'!P$60:P$107)+('11.1.Амортиз.нови активи'!I$110*SUMIF('11.1.Амортиз.нови активи'!$B$60:$B$107,$B136,'11.1.Амортиз.нови активи'!AD$60:AD$107))</f>
        <v>0</v>
      </c>
      <c r="Q136" s="894">
        <f>$L136-SUMIF('11.2. Нови активи отч.год.'!$B$61:$B$108,$B136,'11.2. Нови активи отч.год.'!$L$61:$L$108)+SUMIF('11.2. Нови активи отч.год.'!$B$61:$B$108,$B136,'11.2. Нови активи отч.год.'!Q$61:Q$108)+SUMIF('11.1.Амортиз.нови активи'!$B$60:$B$107,$B136,'11.1.Амортиз.нови активи'!Q$60:Q$107)+('11.1.Амортиз.нови активи'!J$110*SUMIF('11.1.Амортиз.нови активи'!$B$60:$B$107,$B136,'11.1.Амортиз.нови активи'!AE$60:AE$107))</f>
        <v>0</v>
      </c>
      <c r="R136" s="895">
        <f>$L136-SUMIF('11.2. Нови активи отч.год.'!$B$61:$B$108,$B136,'11.2. Нови активи отч.год.'!$L$61:$L$108)+SUMIF('11.2. Нови активи отч.год.'!$B$61:$B$108,$B136,'11.2. Нови активи отч.год.'!R$61:R$108)+SUMIF('11.1.Амортиз.нови активи'!$B$60:$B$107,$B136,'11.1.Амортиз.нови активи'!R$60:R$107)+('11.1.Амортиз.нови активи'!K$110*SUMIF('11.1.Амортиз.нови активи'!$B$60:$B$107,$B136,'11.1.Амортиз.нови активи'!AF$60:AF$107))</f>
        <v>0</v>
      </c>
      <c r="S136" s="2246">
        <v>0</v>
      </c>
      <c r="T136" s="893">
        <f>$S136-SUMIF('11.2. Нови активи отч.год.'!$B$61:$B$108,$B136,'11.2. Нови активи отч.год.'!$S$61:$S$108)+SUMIF('11.2. Нови активи отч.год.'!$B$61:$B$108,$B136,'11.2. Нови активи отч.год.'!T$61:T$108)+SUMIF('11.1.Амортиз.нови активи'!$B$60:$B$107,$B136,'11.1.Амортиз.нови активи'!T$60:T$107)+('11.1.Амортиз.нови активи'!F$111*SUMIF('11.1.Амортиз.нови активи'!$B$60:$B$107,$B136,'11.1.Амортиз.нови активи'!AA$60:AA$107))</f>
        <v>0</v>
      </c>
      <c r="U136" s="894">
        <f>$S136-SUMIF('11.2. Нови активи отч.год.'!$B$61:$B$108,$B136,'11.2. Нови активи отч.год.'!$S$61:$S$108)+SUMIF('11.2. Нови активи отч.год.'!$B$61:$B$108,$B136,'11.2. Нови активи отч.год.'!U$61:U$108)+SUMIF('11.1.Амортиз.нови активи'!$B$60:$B$107,$B136,'11.1.Амортиз.нови активи'!U$60:U$107)+('11.1.Амортиз.нови активи'!G$111*SUMIF('11.1.Амортиз.нови активи'!$B$60:$B$107,$B136,'11.1.Амортиз.нови активи'!AB$60:AB$107))</f>
        <v>0</v>
      </c>
      <c r="V136" s="894">
        <f>$S136-SUMIF('11.2. Нови активи отч.год.'!$B$61:$B$108,$B136,'11.2. Нови активи отч.год.'!$S$61:$S$108)+SUMIF('11.2. Нови активи отч.год.'!$B$61:$B$108,$B136,'11.2. Нови активи отч.год.'!V$61:V$108)+SUMIF('11.1.Амортиз.нови активи'!$B$60:$B$107,$B136,'11.1.Амортиз.нови активи'!V$60:V$107)+('11.1.Амортиз.нови активи'!H$111*SUMIF('11.1.Амортиз.нови активи'!$B$60:$B$107,$B136,'11.1.Амортиз.нови активи'!AC$60:AC$107))</f>
        <v>0</v>
      </c>
      <c r="W136" s="894">
        <f>$S136-SUMIF('11.2. Нови активи отч.год.'!$B$61:$B$108,$B136,'11.2. Нови активи отч.год.'!$S$61:$S$108)+SUMIF('11.2. Нови активи отч.год.'!$B$61:$B$108,$B136,'11.2. Нови активи отч.год.'!W$61:W$108)+SUMIF('11.1.Амортиз.нови активи'!$B$60:$B$107,$B136,'11.1.Амортиз.нови активи'!W$60:W$107)+('11.1.Амортиз.нови активи'!I$111*SUMIF('11.1.Амортиз.нови активи'!$B$60:$B$107,$B136,'11.1.Амортиз.нови активи'!AD$60:AD$107))</f>
        <v>0</v>
      </c>
      <c r="X136" s="894">
        <f>$S136-SUMIF('11.2. Нови активи отч.год.'!$B$61:$B$108,$B136,'11.2. Нови активи отч.год.'!$S$61:$S$108)+SUMIF('11.2. Нови активи отч.год.'!$B$61:$B$108,$B136,'11.2. Нови активи отч.год.'!X$61:X$108)+SUMIF('11.1.Амортиз.нови активи'!$B$60:$B$107,$B136,'11.1.Амортиз.нови активи'!X$60:X$107)+('11.1.Амортиз.нови активи'!J$111*SUMIF('11.1.Амортиз.нови активи'!$B$60:$B$107,$B136,'11.1.Амортиз.нови активи'!AE$60:AE$107))</f>
        <v>0</v>
      </c>
      <c r="Y136" s="895">
        <f>$S136-SUMIF('11.2. Нови активи отч.год.'!$B$61:$B$108,$B136,'11.2. Нови активи отч.год.'!$S$61:$S$108)+SUMIF('11.2. Нови активи отч.год.'!$B$61:$B$108,$B136,'11.2. Нови активи отч.год.'!Y$61:Y$108)+SUMIF('11.1.Амортиз.нови активи'!$B$60:$B$107,$B136,'11.1.Амортиз.нови активи'!Y$60:Y$107)+('11.1.Амортиз.нови активи'!K$111*SUMIF('11.1.Амортиз.нови активи'!$B$60:$B$107,$B136,'11.1.Амортиз.нови активи'!AF$60:AF$107))</f>
        <v>0</v>
      </c>
      <c r="Z136" s="1672"/>
      <c r="AA136" s="1703"/>
      <c r="AB136" s="1727"/>
    </row>
    <row r="137" spans="1:28" s="1643" customFormat="1">
      <c r="A137" s="1674">
        <v>7</v>
      </c>
      <c r="B137" s="1675">
        <v>2030503</v>
      </c>
      <c r="C137" s="1680">
        <v>0.1</v>
      </c>
      <c r="D137" s="1626" t="s">
        <v>966</v>
      </c>
      <c r="E137" s="2246">
        <v>0</v>
      </c>
      <c r="F137" s="893">
        <f>$E137-SUMIF('11.2. Нови активи отч.год.'!$B$61:$B$108,$B137,'11.2. Нови активи отч.год.'!$E$61:$E$108)+SUMIF('11.2. Нови активи отч.год.'!$B$61:$B$108,$B137,'11.2. Нови активи отч.год.'!F$61:F$108)+SUMIF('11.1.Амортиз.нови активи'!$B$60:$B$107,$B137,'11.1.Амортиз.нови активи'!F$60:F$107)+('11.1.Амортиз.нови активи'!F$109*SUMIF('11.1.Амортиз.нови активи'!$B$60:$B$107,$B137,'11.1.Амортиз.нови активи'!AA$60:AA$107))</f>
        <v>10.3</v>
      </c>
      <c r="G137" s="894">
        <f>$E137-SUMIF('11.2. Нови активи отч.год.'!$B$61:$B$108,$B137,'11.2. Нови активи отч.год.'!$E$61:$E$108)+SUMIF('11.2. Нови активи отч.год.'!$B$61:$B$108,$B137,'11.2. Нови активи отч.год.'!G$61:G$108)+SUMIF('11.1.Амортиз.нови активи'!$B$60:$B$107,$B137,'11.1.Амортиз.нови активи'!G$60:G$107)+('11.1.Амортиз.нови активи'!G$109*SUMIF('11.1.Амортиз.нови активи'!$B$60:$B$107,$B137,'11.1.Амортиз.нови активи'!AB$60:AB$107))</f>
        <v>21.9</v>
      </c>
      <c r="H137" s="894">
        <f>$E137-SUMIF('11.2. Нови активи отч.год.'!$B$61:$B$108,$B137,'11.2. Нови активи отч.год.'!$E$61:$E$108)+SUMIF('11.2. Нови активи отч.год.'!$B$61:$B$108,$B137,'11.2. Нови активи отч.год.'!H$61:H$108)+SUMIF('11.1.Амортиз.нови активи'!$B$60:$B$107,$B137,'11.1.Амортиз.нови активи'!H$60:H$107)+('11.1.Амортиз.нови активи'!H$109*SUMIF('11.1.Амортиз.нови активи'!$B$60:$B$107,$B137,'11.1.Амортиз.нови активи'!AC$60:AC$107))</f>
        <v>26.9</v>
      </c>
      <c r="I137" s="894">
        <f>$E137-SUMIF('11.2. Нови активи отч.год.'!$B$61:$B$108,$B137,'11.2. Нови активи отч.год.'!$E$61:$E$108)+SUMIF('11.2. Нови активи отч.год.'!$B$61:$B$108,$B137,'11.2. Нови активи отч.год.'!I$61:I$108)+SUMIF('11.1.Амортиз.нови активи'!$B$60:$B$107,$B137,'11.1.Амортиз.нови активи'!I$60:I$107)+('11.1.Амортиз.нови активи'!I$109*SUMIF('11.1.Амортиз.нови активи'!$B$60:$B$107,$B137,'11.1.Амортиз.нови активи'!AD$60:AD$107))</f>
        <v>31.9</v>
      </c>
      <c r="J137" s="894">
        <f>$E137-SUMIF('11.2. Нови активи отч.год.'!$B$61:$B$108,$B137,'11.2. Нови активи отч.год.'!$E$61:$E$108)+SUMIF('11.2. Нови активи отч.год.'!$B$61:$B$108,$B137,'11.2. Нови активи отч.год.'!J$61:J$108)+SUMIF('11.1.Амортиз.нови активи'!$B$60:$B$107,$B137,'11.1.Амортиз.нови активи'!J$60:J$107)+('11.1.Амортиз.нови активи'!J$109*SUMIF('11.1.Амортиз.нови активи'!$B$60:$B$107,$B137,'11.1.Амортиз.нови активи'!AE$60:AE$107))</f>
        <v>36.900000000000006</v>
      </c>
      <c r="K137" s="894">
        <f>$E137-SUMIF('11.2. Нови активи отч.год.'!$B$61:$B$108,$B137,'11.2. Нови активи отч.год.'!$E$61:$E$108)+SUMIF('11.2. Нови активи отч.год.'!$B$61:$B$108,$B137,'11.2. Нови активи отч.год.'!K$61:K$108)+SUMIF('11.1.Амортиз.нови активи'!$B$60:$B$107,$B137,'11.1.Амортиз.нови активи'!K$60:K$107)+('11.1.Амортиз.нови активи'!K$109*SUMIF('11.1.Амортиз.нови активи'!$B$60:$B$107,$B137,'11.1.Амортиз.нови активи'!AF$60:AF$107))</f>
        <v>41.900000000000006</v>
      </c>
      <c r="L137" s="2246">
        <v>0</v>
      </c>
      <c r="M137" s="893">
        <f>$L137-SUMIF('11.2. Нови активи отч.год.'!$B$61:$B$108,$B137,'11.2. Нови активи отч.год.'!$L$61:$L$108)+SUMIF('11.2. Нови активи отч.год.'!$B$61:$B$108,$B137,'11.2. Нови активи отч.год.'!M$61:M$108)+SUMIF('11.1.Амортиз.нови активи'!$B$60:$B$107,$B137,'11.1.Амортиз.нови активи'!M$60:M$107)+('11.1.Амортиз.нови активи'!F$110*SUMIF('11.1.Амортиз.нови активи'!$B$60:$B$107,$B137,'11.1.Амортиз.нови активи'!AA$60:AA$107))</f>
        <v>0</v>
      </c>
      <c r="N137" s="894">
        <f>$L137-SUMIF('11.2. Нови активи отч.год.'!$B$61:$B$108,$B137,'11.2. Нови активи отч.год.'!$L$61:$L$108)+SUMIF('11.2. Нови активи отч.год.'!$B$61:$B$108,$B137,'11.2. Нови активи отч.год.'!N$61:N$108)+SUMIF('11.1.Амортиз.нови активи'!$B$60:$B$107,$B137,'11.1.Амортиз.нови активи'!N$60:N$107)+('11.1.Амортиз.нови активи'!G$110*SUMIF('11.1.Амортиз.нови активи'!$B$60:$B$107,$B137,'11.1.Амортиз.нови активи'!AB$60:AB$107))</f>
        <v>0</v>
      </c>
      <c r="O137" s="894">
        <f>$L137-SUMIF('11.2. Нови активи отч.год.'!$B$61:$B$108,$B137,'11.2. Нови активи отч.год.'!$L$61:$L$108)+SUMIF('11.2. Нови активи отч.год.'!$B$61:$B$108,$B137,'11.2. Нови активи отч.год.'!O$61:O$108)+SUMIF('11.1.Амортиз.нови активи'!$B$60:$B$107,$B137,'11.1.Амортиз.нови активи'!O$60:O$107)+('11.1.Амортиз.нови активи'!H$110*SUMIF('11.1.Амортиз.нови активи'!$B$60:$B$107,$B137,'11.1.Амортиз.нови активи'!AC$60:AC$107))</f>
        <v>0</v>
      </c>
      <c r="P137" s="894">
        <f>$L137-SUMIF('11.2. Нови активи отч.год.'!$B$61:$B$108,$B137,'11.2. Нови активи отч.год.'!$L$61:$L$108)+SUMIF('11.2. Нови активи отч.год.'!$B$61:$B$108,$B137,'11.2. Нови активи отч.год.'!P$61:P$108)+SUMIF('11.1.Амортиз.нови активи'!$B$60:$B$107,$B137,'11.1.Амортиз.нови активи'!P$60:P$107)+('11.1.Амортиз.нови активи'!I$110*SUMIF('11.1.Амортиз.нови активи'!$B$60:$B$107,$B137,'11.1.Амортиз.нови активи'!AD$60:AD$107))</f>
        <v>0</v>
      </c>
      <c r="Q137" s="894">
        <f>$L137-SUMIF('11.2. Нови активи отч.год.'!$B$61:$B$108,$B137,'11.2. Нови активи отч.год.'!$L$61:$L$108)+SUMIF('11.2. Нови активи отч.год.'!$B$61:$B$108,$B137,'11.2. Нови активи отч.год.'!Q$61:Q$108)+SUMIF('11.1.Амортиз.нови активи'!$B$60:$B$107,$B137,'11.1.Амортиз.нови активи'!Q$60:Q$107)+('11.1.Амортиз.нови активи'!J$110*SUMIF('11.1.Амортиз.нови активи'!$B$60:$B$107,$B137,'11.1.Амортиз.нови активи'!AE$60:AE$107))</f>
        <v>0</v>
      </c>
      <c r="R137" s="895">
        <f>$L137-SUMIF('11.2. Нови активи отч.год.'!$B$61:$B$108,$B137,'11.2. Нови активи отч.год.'!$L$61:$L$108)+SUMIF('11.2. Нови активи отч.год.'!$B$61:$B$108,$B137,'11.2. Нови активи отч.год.'!R$61:R$108)+SUMIF('11.1.Амортиз.нови активи'!$B$60:$B$107,$B137,'11.1.Амортиз.нови активи'!R$60:R$107)+('11.1.Амортиз.нови активи'!K$110*SUMIF('11.1.Амортиз.нови активи'!$B$60:$B$107,$B137,'11.1.Амортиз.нови активи'!AF$60:AF$107))</f>
        <v>0</v>
      </c>
      <c r="S137" s="2246">
        <v>0</v>
      </c>
      <c r="T137" s="893">
        <f>$S137-SUMIF('11.2. Нови активи отч.год.'!$B$61:$B$108,$B137,'11.2. Нови активи отч.год.'!$S$61:$S$108)+SUMIF('11.2. Нови активи отч.год.'!$B$61:$B$108,$B137,'11.2. Нови активи отч.год.'!T$61:T$108)+SUMIF('11.1.Амортиз.нови активи'!$B$60:$B$107,$B137,'11.1.Амортиз.нови активи'!T$60:T$107)+('11.1.Амортиз.нови активи'!F$111*SUMIF('11.1.Амортиз.нови активи'!$B$60:$B$107,$B137,'11.1.Амортиз.нови активи'!AA$60:AA$107))</f>
        <v>0</v>
      </c>
      <c r="U137" s="894">
        <f>$S137-SUMIF('11.2. Нови активи отч.год.'!$B$61:$B$108,$B137,'11.2. Нови активи отч.год.'!$S$61:$S$108)+SUMIF('11.2. Нови активи отч.год.'!$B$61:$B$108,$B137,'11.2. Нови активи отч.год.'!U$61:U$108)+SUMIF('11.1.Амортиз.нови активи'!$B$60:$B$107,$B137,'11.1.Амортиз.нови активи'!U$60:U$107)+('11.1.Амортиз.нови активи'!G$111*SUMIF('11.1.Амортиз.нови активи'!$B$60:$B$107,$B137,'11.1.Амортиз.нови активи'!AB$60:AB$107))</f>
        <v>0</v>
      </c>
      <c r="V137" s="894">
        <f>$S137-SUMIF('11.2. Нови активи отч.год.'!$B$61:$B$108,$B137,'11.2. Нови активи отч.год.'!$S$61:$S$108)+SUMIF('11.2. Нови активи отч.год.'!$B$61:$B$108,$B137,'11.2. Нови активи отч.год.'!V$61:V$108)+SUMIF('11.1.Амортиз.нови активи'!$B$60:$B$107,$B137,'11.1.Амортиз.нови активи'!V$60:V$107)+('11.1.Амортиз.нови активи'!H$111*SUMIF('11.1.Амортиз.нови активи'!$B$60:$B$107,$B137,'11.1.Амортиз.нови активи'!AC$60:AC$107))</f>
        <v>0</v>
      </c>
      <c r="W137" s="894">
        <f>$S137-SUMIF('11.2. Нови активи отч.год.'!$B$61:$B$108,$B137,'11.2. Нови активи отч.год.'!$S$61:$S$108)+SUMIF('11.2. Нови активи отч.год.'!$B$61:$B$108,$B137,'11.2. Нови активи отч.год.'!W$61:W$108)+SUMIF('11.1.Амортиз.нови активи'!$B$60:$B$107,$B137,'11.1.Амортиз.нови активи'!W$60:W$107)+('11.1.Амортиз.нови активи'!I$111*SUMIF('11.1.Амортиз.нови активи'!$B$60:$B$107,$B137,'11.1.Амортиз.нови активи'!AD$60:AD$107))</f>
        <v>0</v>
      </c>
      <c r="X137" s="894">
        <f>$S137-SUMIF('11.2. Нови активи отч.год.'!$B$61:$B$108,$B137,'11.2. Нови активи отч.год.'!$S$61:$S$108)+SUMIF('11.2. Нови активи отч.год.'!$B$61:$B$108,$B137,'11.2. Нови активи отч.год.'!X$61:X$108)+SUMIF('11.1.Амортиз.нови активи'!$B$60:$B$107,$B137,'11.1.Амортиз.нови активи'!X$60:X$107)+('11.1.Амортиз.нови активи'!J$111*SUMIF('11.1.Амортиз.нови активи'!$B$60:$B$107,$B137,'11.1.Амортиз.нови активи'!AE$60:AE$107))</f>
        <v>0</v>
      </c>
      <c r="Y137" s="895">
        <f>$S137-SUMIF('11.2. Нови активи отч.год.'!$B$61:$B$108,$B137,'11.2. Нови активи отч.год.'!$S$61:$S$108)+SUMIF('11.2. Нови активи отч.год.'!$B$61:$B$108,$B137,'11.2. Нови активи отч.год.'!Y$61:Y$108)+SUMIF('11.1.Амортиз.нови активи'!$B$60:$B$107,$B137,'11.1.Амортиз.нови активи'!Y$60:Y$107)+('11.1.Амортиз.нови активи'!K$111*SUMIF('11.1.Амортиз.нови активи'!$B$60:$B$107,$B137,'11.1.Амортиз.нови активи'!AF$60:AF$107))</f>
        <v>0</v>
      </c>
      <c r="Z137" s="1672"/>
      <c r="AA137" s="1703"/>
      <c r="AB137" s="1727"/>
    </row>
    <row r="138" spans="1:28" s="1643" customFormat="1">
      <c r="A138" s="1674">
        <v>8</v>
      </c>
      <c r="B138" s="1675">
        <v>2040101</v>
      </c>
      <c r="C138" s="1729">
        <v>0.1</v>
      </c>
      <c r="D138" s="1638" t="s">
        <v>1442</v>
      </c>
      <c r="E138" s="2246">
        <v>0</v>
      </c>
      <c r="F138" s="893">
        <f>$E138-SUMIF('11.2. Нови активи отч.год.'!$B$61:$B$108,$B138,'11.2. Нови активи отч.год.'!$E$61:$E$108)+SUMIF('11.2. Нови активи отч.год.'!$B$61:$B$108,$B138,'11.2. Нови активи отч.год.'!F$61:F$108)+SUMIF('11.1.Амортиз.нови активи'!$B$60:$B$107,$B138,'11.1.Амортиз.нови активи'!F$60:F$107)+('11.1.Амортиз.нови активи'!F$109*SUMIF('11.1.Амортиз.нови активи'!$B$60:$B$107,$B138,'11.1.Амортиз.нови активи'!AA$60:AA$107))</f>
        <v>0.40000000000000008</v>
      </c>
      <c r="G138" s="894">
        <f>$E138-SUMIF('11.2. Нови активи отч.год.'!$B$61:$B$108,$B138,'11.2. Нови активи отч.год.'!$E$61:$E$108)+SUMIF('11.2. Нови активи отч.год.'!$B$61:$B$108,$B138,'11.2. Нови активи отч.год.'!G$61:G$108)+SUMIF('11.1.Амортиз.нови активи'!$B$60:$B$107,$B138,'11.1.Амортиз.нови активи'!G$60:G$107)+('11.1.Амортиз.нови активи'!G$109*SUMIF('11.1.Амортиз.нови активи'!$B$60:$B$107,$B138,'11.1.Амортиз.нови активи'!AB$60:AB$107))</f>
        <v>0.40000000000000008</v>
      </c>
      <c r="H138" s="894">
        <f>$E138-SUMIF('11.2. Нови активи отч.год.'!$B$61:$B$108,$B138,'11.2. Нови активи отч.год.'!$E$61:$E$108)+SUMIF('11.2. Нови активи отч.год.'!$B$61:$B$108,$B138,'11.2. Нови активи отч.год.'!H$61:H$108)+SUMIF('11.1.Амортиз.нови активи'!$B$60:$B$107,$B138,'11.1.Амортиз.нови активи'!H$60:H$107)+('11.1.Амортиз.нови активи'!H$109*SUMIF('11.1.Амортиз.нови активи'!$B$60:$B$107,$B138,'11.1.Амортиз.нови активи'!AC$60:AC$107))</f>
        <v>0.40000000000000008</v>
      </c>
      <c r="I138" s="894">
        <f>$E138-SUMIF('11.2. Нови активи отч.год.'!$B$61:$B$108,$B138,'11.2. Нови активи отч.год.'!$E$61:$E$108)+SUMIF('11.2. Нови активи отч.год.'!$B$61:$B$108,$B138,'11.2. Нови активи отч.год.'!I$61:I$108)+SUMIF('11.1.Амортиз.нови активи'!$B$60:$B$107,$B138,'11.1.Амортиз.нови активи'!I$60:I$107)+('11.1.Амортиз.нови активи'!I$109*SUMIF('11.1.Амортиз.нови активи'!$B$60:$B$107,$B138,'11.1.Амортиз.нови активи'!AD$60:AD$107))</f>
        <v>0.40000000000000008</v>
      </c>
      <c r="J138" s="894">
        <f>$E138-SUMIF('11.2. Нови активи отч.год.'!$B$61:$B$108,$B138,'11.2. Нови активи отч.год.'!$E$61:$E$108)+SUMIF('11.2. Нови активи отч.год.'!$B$61:$B$108,$B138,'11.2. Нови активи отч.год.'!J$61:J$108)+SUMIF('11.1.Амортиз.нови активи'!$B$60:$B$107,$B138,'11.1.Амортиз.нови активи'!J$60:J$107)+('11.1.Амортиз.нови активи'!J$109*SUMIF('11.1.Амортиз.нови активи'!$B$60:$B$107,$B138,'11.1.Амортиз.нови активи'!AE$60:AE$107))</f>
        <v>0.40000000000000008</v>
      </c>
      <c r="K138" s="894">
        <f>$E138-SUMIF('11.2. Нови активи отч.год.'!$B$61:$B$108,$B138,'11.2. Нови активи отч.год.'!$E$61:$E$108)+SUMIF('11.2. Нови активи отч.год.'!$B$61:$B$108,$B138,'11.2. Нови активи отч.год.'!K$61:K$108)+SUMIF('11.1.Амортиз.нови активи'!$B$60:$B$107,$B138,'11.1.Амортиз.нови активи'!K$60:K$107)+('11.1.Амортиз.нови активи'!K$109*SUMIF('11.1.Амортиз.нови активи'!$B$60:$B$107,$B138,'11.1.Амортиз.нови активи'!AF$60:AF$107))</f>
        <v>0.40000000000000008</v>
      </c>
      <c r="L138" s="2246">
        <v>0</v>
      </c>
      <c r="M138" s="893">
        <f>$L138-SUMIF('11.2. Нови активи отч.год.'!$B$61:$B$108,$B138,'11.2. Нови активи отч.год.'!$L$61:$L$108)+SUMIF('11.2. Нови активи отч.год.'!$B$61:$B$108,$B138,'11.2. Нови активи отч.год.'!M$61:M$108)+SUMIF('11.1.Амортиз.нови активи'!$B$60:$B$107,$B138,'11.1.Амортиз.нови активи'!M$60:M$107)+('11.1.Амортиз.нови активи'!F$110*SUMIF('11.1.Амортиз.нови активи'!$B$60:$B$107,$B138,'11.1.Амортиз.нови активи'!AA$60:AA$107))</f>
        <v>0</v>
      </c>
      <c r="N138" s="894">
        <f>$L138-SUMIF('11.2. Нови активи отч.год.'!$B$61:$B$108,$B138,'11.2. Нови активи отч.год.'!$L$61:$L$108)+SUMIF('11.2. Нови активи отч.год.'!$B$61:$B$108,$B138,'11.2. Нови активи отч.год.'!N$61:N$108)+SUMIF('11.1.Амортиз.нови активи'!$B$60:$B$107,$B138,'11.1.Амортиз.нови активи'!N$60:N$107)+('11.1.Амортиз.нови активи'!G$110*SUMIF('11.1.Амортиз.нови активи'!$B$60:$B$107,$B138,'11.1.Амортиз.нови активи'!AB$60:AB$107))</f>
        <v>0</v>
      </c>
      <c r="O138" s="894">
        <f>$L138-SUMIF('11.2. Нови активи отч.год.'!$B$61:$B$108,$B138,'11.2. Нови активи отч.год.'!$L$61:$L$108)+SUMIF('11.2. Нови активи отч.год.'!$B$61:$B$108,$B138,'11.2. Нови активи отч.год.'!O$61:O$108)+SUMIF('11.1.Амортиз.нови активи'!$B$60:$B$107,$B138,'11.1.Амортиз.нови активи'!O$60:O$107)+('11.1.Амортиз.нови активи'!H$110*SUMIF('11.1.Амортиз.нови активи'!$B$60:$B$107,$B138,'11.1.Амортиз.нови активи'!AC$60:AC$107))</f>
        <v>0</v>
      </c>
      <c r="P138" s="894">
        <f>$L138-SUMIF('11.2. Нови активи отч.год.'!$B$61:$B$108,$B138,'11.2. Нови активи отч.год.'!$L$61:$L$108)+SUMIF('11.2. Нови активи отч.год.'!$B$61:$B$108,$B138,'11.2. Нови активи отч.год.'!P$61:P$108)+SUMIF('11.1.Амортиз.нови активи'!$B$60:$B$107,$B138,'11.1.Амортиз.нови активи'!P$60:P$107)+('11.1.Амортиз.нови активи'!I$110*SUMIF('11.1.Амортиз.нови активи'!$B$60:$B$107,$B138,'11.1.Амортиз.нови активи'!AD$60:AD$107))</f>
        <v>0</v>
      </c>
      <c r="Q138" s="894">
        <f>$L138-SUMIF('11.2. Нови активи отч.год.'!$B$61:$B$108,$B138,'11.2. Нови активи отч.год.'!$L$61:$L$108)+SUMIF('11.2. Нови активи отч.год.'!$B$61:$B$108,$B138,'11.2. Нови активи отч.год.'!Q$61:Q$108)+SUMIF('11.1.Амортиз.нови активи'!$B$60:$B$107,$B138,'11.1.Амортиз.нови активи'!Q$60:Q$107)+('11.1.Амортиз.нови активи'!J$110*SUMIF('11.1.Амортиз.нови активи'!$B$60:$B$107,$B138,'11.1.Амортиз.нови активи'!AE$60:AE$107))</f>
        <v>0</v>
      </c>
      <c r="R138" s="895">
        <f>$L138-SUMIF('11.2. Нови активи отч.год.'!$B$61:$B$108,$B138,'11.2. Нови активи отч.год.'!$L$61:$L$108)+SUMIF('11.2. Нови активи отч.год.'!$B$61:$B$108,$B138,'11.2. Нови активи отч.год.'!R$61:R$108)+SUMIF('11.1.Амортиз.нови активи'!$B$60:$B$107,$B138,'11.1.Амортиз.нови активи'!R$60:R$107)+('11.1.Амортиз.нови активи'!K$110*SUMIF('11.1.Амортиз.нови активи'!$B$60:$B$107,$B138,'11.1.Амортиз.нови активи'!AF$60:AF$107))</f>
        <v>0</v>
      </c>
      <c r="S138" s="2246">
        <v>0</v>
      </c>
      <c r="T138" s="893">
        <f>$S138-SUMIF('11.2. Нови активи отч.год.'!$B$61:$B$108,$B138,'11.2. Нови активи отч.год.'!$S$61:$S$108)+SUMIF('11.2. Нови активи отч.год.'!$B$61:$B$108,$B138,'11.2. Нови активи отч.год.'!T$61:T$108)+SUMIF('11.1.Амортиз.нови активи'!$B$60:$B$107,$B138,'11.1.Амортиз.нови активи'!T$60:T$107)+('11.1.Амортиз.нови активи'!F$111*SUMIF('11.1.Амортиз.нови активи'!$B$60:$B$107,$B138,'11.1.Амортиз.нови активи'!AA$60:AA$107))</f>
        <v>0</v>
      </c>
      <c r="U138" s="894">
        <f>$S138-SUMIF('11.2. Нови активи отч.год.'!$B$61:$B$108,$B138,'11.2. Нови активи отч.год.'!$S$61:$S$108)+SUMIF('11.2. Нови активи отч.год.'!$B$61:$B$108,$B138,'11.2. Нови активи отч.год.'!U$61:U$108)+SUMIF('11.1.Амортиз.нови активи'!$B$60:$B$107,$B138,'11.1.Амортиз.нови активи'!U$60:U$107)+('11.1.Амортиз.нови активи'!G$111*SUMIF('11.1.Амортиз.нови активи'!$B$60:$B$107,$B138,'11.1.Амортиз.нови активи'!AB$60:AB$107))</f>
        <v>0</v>
      </c>
      <c r="V138" s="894">
        <f>$S138-SUMIF('11.2. Нови активи отч.год.'!$B$61:$B$108,$B138,'11.2. Нови активи отч.год.'!$S$61:$S$108)+SUMIF('11.2. Нови активи отч.год.'!$B$61:$B$108,$B138,'11.2. Нови активи отч.год.'!V$61:V$108)+SUMIF('11.1.Амортиз.нови активи'!$B$60:$B$107,$B138,'11.1.Амортиз.нови активи'!V$60:V$107)+('11.1.Амортиз.нови активи'!H$111*SUMIF('11.1.Амортиз.нови активи'!$B$60:$B$107,$B138,'11.1.Амортиз.нови активи'!AC$60:AC$107))</f>
        <v>0</v>
      </c>
      <c r="W138" s="894">
        <f>$S138-SUMIF('11.2. Нови активи отч.год.'!$B$61:$B$108,$B138,'11.2. Нови активи отч.год.'!$S$61:$S$108)+SUMIF('11.2. Нови активи отч.год.'!$B$61:$B$108,$B138,'11.2. Нови активи отч.год.'!W$61:W$108)+SUMIF('11.1.Амортиз.нови активи'!$B$60:$B$107,$B138,'11.1.Амортиз.нови активи'!W$60:W$107)+('11.1.Амортиз.нови активи'!I$111*SUMIF('11.1.Амортиз.нови активи'!$B$60:$B$107,$B138,'11.1.Амортиз.нови активи'!AD$60:AD$107))</f>
        <v>0</v>
      </c>
      <c r="X138" s="894">
        <f>$S138-SUMIF('11.2. Нови активи отч.год.'!$B$61:$B$108,$B138,'11.2. Нови активи отч.год.'!$S$61:$S$108)+SUMIF('11.2. Нови активи отч.год.'!$B$61:$B$108,$B138,'11.2. Нови активи отч.год.'!X$61:X$108)+SUMIF('11.1.Амортиз.нови активи'!$B$60:$B$107,$B138,'11.1.Амортиз.нови активи'!X$60:X$107)+('11.1.Амортиз.нови активи'!J$111*SUMIF('11.1.Амортиз.нови активи'!$B$60:$B$107,$B138,'11.1.Амортиз.нови активи'!AE$60:AE$107))</f>
        <v>0</v>
      </c>
      <c r="Y138" s="895">
        <f>$S138-SUMIF('11.2. Нови активи отч.год.'!$B$61:$B$108,$B138,'11.2. Нови активи отч.год.'!$S$61:$S$108)+SUMIF('11.2. Нови активи отч.год.'!$B$61:$B$108,$B138,'11.2. Нови активи отч.год.'!Y$61:Y$108)+SUMIF('11.1.Амортиз.нови активи'!$B$60:$B$107,$B138,'11.1.Амортиз.нови активи'!Y$60:Y$107)+('11.1.Амортиз.нови активи'!K$111*SUMIF('11.1.Амортиз.нови активи'!$B$60:$B$107,$B138,'11.1.Амортиз.нови активи'!AF$60:AF$107))</f>
        <v>0</v>
      </c>
      <c r="Z138" s="1672"/>
      <c r="AA138" s="1703"/>
      <c r="AB138" s="1727"/>
    </row>
    <row r="139" spans="1:28" s="1643" customFormat="1">
      <c r="A139" s="1730">
        <v>9</v>
      </c>
      <c r="B139" s="1675">
        <v>2040102</v>
      </c>
      <c r="C139" s="1729">
        <v>0.04</v>
      </c>
      <c r="D139" s="1638" t="s">
        <v>604</v>
      </c>
      <c r="E139" s="2246">
        <v>0</v>
      </c>
      <c r="F139" s="893">
        <f>$E139-SUMIF('11.2. Нови активи отч.год.'!$B$61:$B$108,$B139,'11.2. Нови активи отч.год.'!$E$61:$E$108)+SUMIF('11.2. Нови активи отч.год.'!$B$61:$B$108,$B139,'11.2. Нови активи отч.год.'!F$61:F$108)+SUMIF('11.1.Амортиз.нови активи'!$B$60:$B$107,$B139,'11.1.Амортиз.нови активи'!F$60:F$107)+('11.1.Амортиз.нови активи'!F$109*SUMIF('11.1.Амортиз.нови активи'!$B$60:$B$107,$B139,'11.1.Амортиз.нови активи'!AA$60:AA$107))</f>
        <v>0</v>
      </c>
      <c r="G139" s="894">
        <f>$E139-SUMIF('11.2. Нови активи отч.год.'!$B$61:$B$108,$B139,'11.2. Нови активи отч.год.'!$E$61:$E$108)+SUMIF('11.2. Нови активи отч.год.'!$B$61:$B$108,$B139,'11.2. Нови активи отч.год.'!G$61:G$108)+SUMIF('11.1.Амортиз.нови активи'!$B$60:$B$107,$B139,'11.1.Амортиз.нови активи'!G$60:G$107)+('11.1.Амортиз.нови активи'!G$109*SUMIF('11.1.Амортиз.нови активи'!$B$60:$B$107,$B139,'11.1.Амортиз.нови активи'!AB$60:AB$107))</f>
        <v>0</v>
      </c>
      <c r="H139" s="894">
        <f>$E139-SUMIF('11.2. Нови активи отч.год.'!$B$61:$B$108,$B139,'11.2. Нови активи отч.год.'!$E$61:$E$108)+SUMIF('11.2. Нови активи отч.год.'!$B$61:$B$108,$B139,'11.2. Нови активи отч.год.'!H$61:H$108)+SUMIF('11.1.Амортиз.нови активи'!$B$60:$B$107,$B139,'11.1.Амортиз.нови активи'!H$60:H$107)+('11.1.Амортиз.нови активи'!H$109*SUMIF('11.1.Амортиз.нови активи'!$B$60:$B$107,$B139,'11.1.Амортиз.нови активи'!AC$60:AC$107))</f>
        <v>0</v>
      </c>
      <c r="I139" s="894">
        <f>$E139-SUMIF('11.2. Нови активи отч.год.'!$B$61:$B$108,$B139,'11.2. Нови активи отч.год.'!$E$61:$E$108)+SUMIF('11.2. Нови активи отч.год.'!$B$61:$B$108,$B139,'11.2. Нови активи отч.год.'!I$61:I$108)+SUMIF('11.1.Амортиз.нови активи'!$B$60:$B$107,$B139,'11.1.Амортиз.нови активи'!I$60:I$107)+('11.1.Амортиз.нови активи'!I$109*SUMIF('11.1.Амортиз.нови активи'!$B$60:$B$107,$B139,'11.1.Амортиз.нови активи'!AD$60:AD$107))</f>
        <v>0</v>
      </c>
      <c r="J139" s="894">
        <f>$E139-SUMIF('11.2. Нови активи отч.год.'!$B$61:$B$108,$B139,'11.2. Нови активи отч.год.'!$E$61:$E$108)+SUMIF('11.2. Нови активи отч.год.'!$B$61:$B$108,$B139,'11.2. Нови активи отч.год.'!J$61:J$108)+SUMIF('11.1.Амортиз.нови активи'!$B$60:$B$107,$B139,'11.1.Амортиз.нови активи'!J$60:J$107)+('11.1.Амортиз.нови активи'!J$109*SUMIF('11.1.Амортиз.нови активи'!$B$60:$B$107,$B139,'11.1.Амортиз.нови активи'!AE$60:AE$107))</f>
        <v>0</v>
      </c>
      <c r="K139" s="894">
        <f>$E139-SUMIF('11.2. Нови активи отч.год.'!$B$61:$B$108,$B139,'11.2. Нови активи отч.год.'!$E$61:$E$108)+SUMIF('11.2. Нови активи отч.год.'!$B$61:$B$108,$B139,'11.2. Нови активи отч.год.'!K$61:K$108)+SUMIF('11.1.Амортиз.нови активи'!$B$60:$B$107,$B139,'11.1.Амортиз.нови активи'!K$60:K$107)+('11.1.Амортиз.нови активи'!K$109*SUMIF('11.1.Амортиз.нови активи'!$B$60:$B$107,$B139,'11.1.Амортиз.нови активи'!AF$60:AF$107))</f>
        <v>0</v>
      </c>
      <c r="L139" s="2246">
        <v>0</v>
      </c>
      <c r="M139" s="893">
        <f>$L139-SUMIF('11.2. Нови активи отч.год.'!$B$61:$B$108,$B139,'11.2. Нови активи отч.год.'!$L$61:$L$108)+SUMIF('11.2. Нови активи отч.год.'!$B$61:$B$108,$B139,'11.2. Нови активи отч.год.'!M$61:M$108)+SUMIF('11.1.Амортиз.нови активи'!$B$60:$B$107,$B139,'11.1.Амортиз.нови активи'!M$60:M$107)+('11.1.Амортиз.нови активи'!F$110*SUMIF('11.1.Амортиз.нови активи'!$B$60:$B$107,$B139,'11.1.Амортиз.нови активи'!AA$60:AA$107))</f>
        <v>0</v>
      </c>
      <c r="N139" s="894">
        <f>$L139-SUMIF('11.2. Нови активи отч.год.'!$B$61:$B$108,$B139,'11.2. Нови активи отч.год.'!$L$61:$L$108)+SUMIF('11.2. Нови активи отч.год.'!$B$61:$B$108,$B139,'11.2. Нови активи отч.год.'!N$61:N$108)+SUMIF('11.1.Амортиз.нови активи'!$B$60:$B$107,$B139,'11.1.Амортиз.нови активи'!N$60:N$107)+('11.1.Амортиз.нови активи'!G$110*SUMIF('11.1.Амортиз.нови активи'!$B$60:$B$107,$B139,'11.1.Амортиз.нови активи'!AB$60:AB$107))</f>
        <v>0</v>
      </c>
      <c r="O139" s="894">
        <f>$L139-SUMIF('11.2. Нови активи отч.год.'!$B$61:$B$108,$B139,'11.2. Нови активи отч.год.'!$L$61:$L$108)+SUMIF('11.2. Нови активи отч.год.'!$B$61:$B$108,$B139,'11.2. Нови активи отч.год.'!O$61:O$108)+SUMIF('11.1.Амортиз.нови активи'!$B$60:$B$107,$B139,'11.1.Амортиз.нови активи'!O$60:O$107)+('11.1.Амортиз.нови активи'!H$110*SUMIF('11.1.Амортиз.нови активи'!$B$60:$B$107,$B139,'11.1.Амортиз.нови активи'!AC$60:AC$107))</f>
        <v>0</v>
      </c>
      <c r="P139" s="894">
        <f>$L139-SUMIF('11.2. Нови активи отч.год.'!$B$61:$B$108,$B139,'11.2. Нови активи отч.год.'!$L$61:$L$108)+SUMIF('11.2. Нови активи отч.год.'!$B$61:$B$108,$B139,'11.2. Нови активи отч.год.'!P$61:P$108)+SUMIF('11.1.Амортиз.нови активи'!$B$60:$B$107,$B139,'11.1.Амортиз.нови активи'!P$60:P$107)+('11.1.Амортиз.нови активи'!I$110*SUMIF('11.1.Амортиз.нови активи'!$B$60:$B$107,$B139,'11.1.Амортиз.нови активи'!AD$60:AD$107))</f>
        <v>0</v>
      </c>
      <c r="Q139" s="894">
        <f>$L139-SUMIF('11.2. Нови активи отч.год.'!$B$61:$B$108,$B139,'11.2. Нови активи отч.год.'!$L$61:$L$108)+SUMIF('11.2. Нови активи отч.год.'!$B$61:$B$108,$B139,'11.2. Нови активи отч.год.'!Q$61:Q$108)+SUMIF('11.1.Амортиз.нови активи'!$B$60:$B$107,$B139,'11.1.Амортиз.нови активи'!Q$60:Q$107)+('11.1.Амортиз.нови активи'!J$110*SUMIF('11.1.Амортиз.нови активи'!$B$60:$B$107,$B139,'11.1.Амортиз.нови активи'!AE$60:AE$107))</f>
        <v>0</v>
      </c>
      <c r="R139" s="895">
        <f>$L139-SUMIF('11.2. Нови активи отч.год.'!$B$61:$B$108,$B139,'11.2. Нови активи отч.год.'!$L$61:$L$108)+SUMIF('11.2. Нови активи отч.год.'!$B$61:$B$108,$B139,'11.2. Нови активи отч.год.'!R$61:R$108)+SUMIF('11.1.Амортиз.нови активи'!$B$60:$B$107,$B139,'11.1.Амортиз.нови активи'!R$60:R$107)+('11.1.Амортиз.нови активи'!K$110*SUMIF('11.1.Амортиз.нови активи'!$B$60:$B$107,$B139,'11.1.Амортиз.нови активи'!AF$60:AF$107))</f>
        <v>0</v>
      </c>
      <c r="S139" s="2246">
        <v>0</v>
      </c>
      <c r="T139" s="893">
        <f>$S139-SUMIF('11.2. Нови активи отч.год.'!$B$61:$B$108,$B139,'11.2. Нови активи отч.год.'!$S$61:$S$108)+SUMIF('11.2. Нови активи отч.год.'!$B$61:$B$108,$B139,'11.2. Нови активи отч.год.'!T$61:T$108)+SUMIF('11.1.Амортиз.нови активи'!$B$60:$B$107,$B139,'11.1.Амортиз.нови активи'!T$60:T$107)+('11.1.Амортиз.нови активи'!F$111*SUMIF('11.1.Амортиз.нови активи'!$B$60:$B$107,$B139,'11.1.Амортиз.нови активи'!AA$60:AA$107))</f>
        <v>0</v>
      </c>
      <c r="U139" s="894">
        <f>$S139-SUMIF('11.2. Нови активи отч.год.'!$B$61:$B$108,$B139,'11.2. Нови активи отч.год.'!$S$61:$S$108)+SUMIF('11.2. Нови активи отч.год.'!$B$61:$B$108,$B139,'11.2. Нови активи отч.год.'!U$61:U$108)+SUMIF('11.1.Амортиз.нови активи'!$B$60:$B$107,$B139,'11.1.Амортиз.нови активи'!U$60:U$107)+('11.1.Амортиз.нови активи'!G$111*SUMIF('11.1.Амортиз.нови активи'!$B$60:$B$107,$B139,'11.1.Амортиз.нови активи'!AB$60:AB$107))</f>
        <v>0</v>
      </c>
      <c r="V139" s="894">
        <f>$S139-SUMIF('11.2. Нови активи отч.год.'!$B$61:$B$108,$B139,'11.2. Нови активи отч.год.'!$S$61:$S$108)+SUMIF('11.2. Нови активи отч.год.'!$B$61:$B$108,$B139,'11.2. Нови активи отч.год.'!V$61:V$108)+SUMIF('11.1.Амортиз.нови активи'!$B$60:$B$107,$B139,'11.1.Амортиз.нови активи'!V$60:V$107)+('11.1.Амортиз.нови активи'!H$111*SUMIF('11.1.Амортиз.нови активи'!$B$60:$B$107,$B139,'11.1.Амортиз.нови активи'!AC$60:AC$107))</f>
        <v>0</v>
      </c>
      <c r="W139" s="894">
        <f>$S139-SUMIF('11.2. Нови активи отч.год.'!$B$61:$B$108,$B139,'11.2. Нови активи отч.год.'!$S$61:$S$108)+SUMIF('11.2. Нови активи отч.год.'!$B$61:$B$108,$B139,'11.2. Нови активи отч.год.'!W$61:W$108)+SUMIF('11.1.Амортиз.нови активи'!$B$60:$B$107,$B139,'11.1.Амортиз.нови активи'!W$60:W$107)+('11.1.Амортиз.нови активи'!I$111*SUMIF('11.1.Амортиз.нови активи'!$B$60:$B$107,$B139,'11.1.Амортиз.нови активи'!AD$60:AD$107))</f>
        <v>0</v>
      </c>
      <c r="X139" s="894">
        <f>$S139-SUMIF('11.2. Нови активи отч.год.'!$B$61:$B$108,$B139,'11.2. Нови активи отч.год.'!$S$61:$S$108)+SUMIF('11.2. Нови активи отч.год.'!$B$61:$B$108,$B139,'11.2. Нови активи отч.год.'!X$61:X$108)+SUMIF('11.1.Амортиз.нови активи'!$B$60:$B$107,$B139,'11.1.Амортиз.нови активи'!X$60:X$107)+('11.1.Амортиз.нови активи'!J$111*SUMIF('11.1.Амортиз.нови активи'!$B$60:$B$107,$B139,'11.1.Амортиз.нови активи'!AE$60:AE$107))</f>
        <v>0</v>
      </c>
      <c r="Y139" s="895">
        <f>$S139-SUMIF('11.2. Нови активи отч.год.'!$B$61:$B$108,$B139,'11.2. Нови активи отч.год.'!$S$61:$S$108)+SUMIF('11.2. Нови активи отч.год.'!$B$61:$B$108,$B139,'11.2. Нови активи отч.год.'!Y$61:Y$108)+SUMIF('11.1.Амортиз.нови активи'!$B$60:$B$107,$B139,'11.1.Амортиз.нови активи'!Y$60:Y$107)+('11.1.Амортиз.нови активи'!K$111*SUMIF('11.1.Амортиз.нови активи'!$B$60:$B$107,$B139,'11.1.Амортиз.нови активи'!AF$60:AF$107))</f>
        <v>0</v>
      </c>
      <c r="Z139" s="1672"/>
      <c r="AA139" s="1703"/>
      <c r="AB139" s="1727"/>
    </row>
    <row r="140" spans="1:28" s="1643" customFormat="1">
      <c r="A140" s="1730">
        <v>10</v>
      </c>
      <c r="B140" s="1675">
        <v>2040201</v>
      </c>
      <c r="C140" s="1676">
        <v>0.02</v>
      </c>
      <c r="D140" s="1624" t="s">
        <v>1007</v>
      </c>
      <c r="E140" s="2246">
        <v>0</v>
      </c>
      <c r="F140" s="893">
        <f>$E140-SUMIF('11.2. Нови активи отч.год.'!$B$61:$B$108,$B140,'11.2. Нови активи отч.год.'!$E$61:$E$108)+SUMIF('11.2. Нови активи отч.год.'!$B$61:$B$108,$B140,'11.2. Нови активи отч.год.'!F$61:F$108)+SUMIF('11.1.Амортиз.нови активи'!$B$60:$B$107,$B140,'11.1.Амортиз.нови активи'!F$60:F$107)+('11.1.Амортиз.нови активи'!F$109*SUMIF('11.1.Амортиз.нови активи'!$B$60:$B$107,$B140,'11.1.Амортиз.нови активи'!AA$60:AA$107))</f>
        <v>0</v>
      </c>
      <c r="G140" s="894">
        <f>$E140-SUMIF('11.2. Нови активи отч.год.'!$B$61:$B$108,$B140,'11.2. Нови активи отч.год.'!$E$61:$E$108)+SUMIF('11.2. Нови активи отч.год.'!$B$61:$B$108,$B140,'11.2. Нови активи отч.год.'!G$61:G$108)+SUMIF('11.1.Амортиз.нови активи'!$B$60:$B$107,$B140,'11.1.Амортиз.нови активи'!G$60:G$107)+('11.1.Амортиз.нови активи'!G$109*SUMIF('11.1.Амортиз.нови активи'!$B$60:$B$107,$B140,'11.1.Амортиз.нови активи'!AB$60:AB$107))</f>
        <v>0</v>
      </c>
      <c r="H140" s="894">
        <f>$E140-SUMIF('11.2. Нови активи отч.год.'!$B$61:$B$108,$B140,'11.2. Нови активи отч.год.'!$E$61:$E$108)+SUMIF('11.2. Нови активи отч.год.'!$B$61:$B$108,$B140,'11.2. Нови активи отч.год.'!H$61:H$108)+SUMIF('11.1.Амортиз.нови активи'!$B$60:$B$107,$B140,'11.1.Амортиз.нови активи'!H$60:H$107)+('11.1.Амортиз.нови активи'!H$109*SUMIF('11.1.Амортиз.нови активи'!$B$60:$B$107,$B140,'11.1.Амортиз.нови активи'!AC$60:AC$107))</f>
        <v>0</v>
      </c>
      <c r="I140" s="894">
        <f>$E140-SUMIF('11.2. Нови активи отч.год.'!$B$61:$B$108,$B140,'11.2. Нови активи отч.год.'!$E$61:$E$108)+SUMIF('11.2. Нови активи отч.год.'!$B$61:$B$108,$B140,'11.2. Нови активи отч.год.'!I$61:I$108)+SUMIF('11.1.Амортиз.нови активи'!$B$60:$B$107,$B140,'11.1.Амортиз.нови активи'!I$60:I$107)+('11.1.Амортиз.нови активи'!I$109*SUMIF('11.1.Амортиз.нови активи'!$B$60:$B$107,$B140,'11.1.Амортиз.нови активи'!AD$60:AD$107))</f>
        <v>0</v>
      </c>
      <c r="J140" s="894">
        <f>$E140-SUMIF('11.2. Нови активи отч.год.'!$B$61:$B$108,$B140,'11.2. Нови активи отч.год.'!$E$61:$E$108)+SUMIF('11.2. Нови активи отч.год.'!$B$61:$B$108,$B140,'11.2. Нови активи отч.год.'!J$61:J$108)+SUMIF('11.1.Амортиз.нови активи'!$B$60:$B$107,$B140,'11.1.Амортиз.нови активи'!J$60:J$107)+('11.1.Амортиз.нови активи'!J$109*SUMIF('11.1.Амортиз.нови активи'!$B$60:$B$107,$B140,'11.1.Амортиз.нови активи'!AE$60:AE$107))</f>
        <v>0</v>
      </c>
      <c r="K140" s="894">
        <f>$E140-SUMIF('11.2. Нови активи отч.год.'!$B$61:$B$108,$B140,'11.2. Нови активи отч.год.'!$E$61:$E$108)+SUMIF('11.2. Нови активи отч.год.'!$B$61:$B$108,$B140,'11.2. Нови активи отч.год.'!K$61:K$108)+SUMIF('11.1.Амортиз.нови активи'!$B$60:$B$107,$B140,'11.1.Амортиз.нови активи'!K$60:K$107)+('11.1.Амортиз.нови активи'!K$109*SUMIF('11.1.Амортиз.нови активи'!$B$60:$B$107,$B140,'11.1.Амортиз.нови активи'!AF$60:AF$107))</f>
        <v>0</v>
      </c>
      <c r="L140" s="2246">
        <v>0</v>
      </c>
      <c r="M140" s="893">
        <f>$L140-SUMIF('11.2. Нови активи отч.год.'!$B$61:$B$108,$B140,'11.2. Нови активи отч.год.'!$L$61:$L$108)+SUMIF('11.2. Нови активи отч.год.'!$B$61:$B$108,$B140,'11.2. Нови активи отч.год.'!M$61:M$108)+SUMIF('11.1.Амортиз.нови активи'!$B$60:$B$107,$B140,'11.1.Амортиз.нови активи'!M$60:M$107)+('11.1.Амортиз.нови активи'!F$110*SUMIF('11.1.Амортиз.нови активи'!$B$60:$B$107,$B140,'11.1.Амортиз.нови активи'!AA$60:AA$107))</f>
        <v>0</v>
      </c>
      <c r="N140" s="894">
        <f>$L140-SUMIF('11.2. Нови активи отч.год.'!$B$61:$B$108,$B140,'11.2. Нови активи отч.год.'!$L$61:$L$108)+SUMIF('11.2. Нови активи отч.год.'!$B$61:$B$108,$B140,'11.2. Нови активи отч.год.'!N$61:N$108)+SUMIF('11.1.Амортиз.нови активи'!$B$60:$B$107,$B140,'11.1.Амортиз.нови активи'!N$60:N$107)+('11.1.Амортиз.нови активи'!G$110*SUMIF('11.1.Амортиз.нови активи'!$B$60:$B$107,$B140,'11.1.Амортиз.нови активи'!AB$60:AB$107))</f>
        <v>0</v>
      </c>
      <c r="O140" s="894">
        <f>$L140-SUMIF('11.2. Нови активи отч.год.'!$B$61:$B$108,$B140,'11.2. Нови активи отч.год.'!$L$61:$L$108)+SUMIF('11.2. Нови активи отч.год.'!$B$61:$B$108,$B140,'11.2. Нови активи отч.год.'!O$61:O$108)+SUMIF('11.1.Амортиз.нови активи'!$B$60:$B$107,$B140,'11.1.Амортиз.нови активи'!O$60:O$107)+('11.1.Амортиз.нови активи'!H$110*SUMIF('11.1.Амортиз.нови активи'!$B$60:$B$107,$B140,'11.1.Амортиз.нови активи'!AC$60:AC$107))</f>
        <v>0</v>
      </c>
      <c r="P140" s="894">
        <f>$L140-SUMIF('11.2. Нови активи отч.год.'!$B$61:$B$108,$B140,'11.2. Нови активи отч.год.'!$L$61:$L$108)+SUMIF('11.2. Нови активи отч.год.'!$B$61:$B$108,$B140,'11.2. Нови активи отч.год.'!P$61:P$108)+SUMIF('11.1.Амортиз.нови активи'!$B$60:$B$107,$B140,'11.1.Амортиз.нови активи'!P$60:P$107)+('11.1.Амортиз.нови активи'!I$110*SUMIF('11.1.Амортиз.нови активи'!$B$60:$B$107,$B140,'11.1.Амортиз.нови активи'!AD$60:AD$107))</f>
        <v>0</v>
      </c>
      <c r="Q140" s="894">
        <f>$L140-SUMIF('11.2. Нови активи отч.год.'!$B$61:$B$108,$B140,'11.2. Нови активи отч.год.'!$L$61:$L$108)+SUMIF('11.2. Нови активи отч.год.'!$B$61:$B$108,$B140,'11.2. Нови активи отч.год.'!Q$61:Q$108)+SUMIF('11.1.Амортиз.нови активи'!$B$60:$B$107,$B140,'11.1.Амортиз.нови активи'!Q$60:Q$107)+('11.1.Амортиз.нови активи'!J$110*SUMIF('11.1.Амортиз.нови активи'!$B$60:$B$107,$B140,'11.1.Амортиз.нови активи'!AE$60:AE$107))</f>
        <v>0</v>
      </c>
      <c r="R140" s="895">
        <f>$L140-SUMIF('11.2. Нови активи отч.год.'!$B$61:$B$108,$B140,'11.2. Нови активи отч.год.'!$L$61:$L$108)+SUMIF('11.2. Нови активи отч.год.'!$B$61:$B$108,$B140,'11.2. Нови активи отч.год.'!R$61:R$108)+SUMIF('11.1.Амортиз.нови активи'!$B$60:$B$107,$B140,'11.1.Амортиз.нови активи'!R$60:R$107)+('11.1.Амортиз.нови активи'!K$110*SUMIF('11.1.Амортиз.нови активи'!$B$60:$B$107,$B140,'11.1.Амортиз.нови активи'!AF$60:AF$107))</f>
        <v>0</v>
      </c>
      <c r="S140" s="2246">
        <v>0</v>
      </c>
      <c r="T140" s="893">
        <f>$S140-SUMIF('11.2. Нови активи отч.год.'!$B$61:$B$108,$B140,'11.2. Нови активи отч.год.'!$S$61:$S$108)+SUMIF('11.2. Нови активи отч.год.'!$B$61:$B$108,$B140,'11.2. Нови активи отч.год.'!T$61:T$108)+SUMIF('11.1.Амортиз.нови активи'!$B$60:$B$107,$B140,'11.1.Амортиз.нови активи'!T$60:T$107)+('11.1.Амортиз.нови активи'!F$111*SUMIF('11.1.Амортиз.нови активи'!$B$60:$B$107,$B140,'11.1.Амортиз.нови активи'!AA$60:AA$107))</f>
        <v>0</v>
      </c>
      <c r="U140" s="894">
        <f>$S140-SUMIF('11.2. Нови активи отч.год.'!$B$61:$B$108,$B140,'11.2. Нови активи отч.год.'!$S$61:$S$108)+SUMIF('11.2. Нови активи отч.год.'!$B$61:$B$108,$B140,'11.2. Нови активи отч.год.'!U$61:U$108)+SUMIF('11.1.Амортиз.нови активи'!$B$60:$B$107,$B140,'11.1.Амортиз.нови активи'!U$60:U$107)+('11.1.Амортиз.нови активи'!G$111*SUMIF('11.1.Амортиз.нови активи'!$B$60:$B$107,$B140,'11.1.Амортиз.нови активи'!AB$60:AB$107))</f>
        <v>0</v>
      </c>
      <c r="V140" s="894">
        <f>$S140-SUMIF('11.2. Нови активи отч.год.'!$B$61:$B$108,$B140,'11.2. Нови активи отч.год.'!$S$61:$S$108)+SUMIF('11.2. Нови активи отч.год.'!$B$61:$B$108,$B140,'11.2. Нови активи отч.год.'!V$61:V$108)+SUMIF('11.1.Амортиз.нови активи'!$B$60:$B$107,$B140,'11.1.Амортиз.нови активи'!V$60:V$107)+('11.1.Амортиз.нови активи'!H$111*SUMIF('11.1.Амортиз.нови активи'!$B$60:$B$107,$B140,'11.1.Амортиз.нови активи'!AC$60:AC$107))</f>
        <v>0</v>
      </c>
      <c r="W140" s="894">
        <f>$S140-SUMIF('11.2. Нови активи отч.год.'!$B$61:$B$108,$B140,'11.2. Нови активи отч.год.'!$S$61:$S$108)+SUMIF('11.2. Нови активи отч.год.'!$B$61:$B$108,$B140,'11.2. Нови активи отч.год.'!W$61:W$108)+SUMIF('11.1.Амортиз.нови активи'!$B$60:$B$107,$B140,'11.1.Амортиз.нови активи'!W$60:W$107)+('11.1.Амортиз.нови активи'!I$111*SUMIF('11.1.Амортиз.нови активи'!$B$60:$B$107,$B140,'11.1.Амортиз.нови активи'!AD$60:AD$107))</f>
        <v>0</v>
      </c>
      <c r="X140" s="894">
        <f>$S140-SUMIF('11.2. Нови активи отч.год.'!$B$61:$B$108,$B140,'11.2. Нови активи отч.год.'!$S$61:$S$108)+SUMIF('11.2. Нови активи отч.год.'!$B$61:$B$108,$B140,'11.2. Нови активи отч.год.'!X$61:X$108)+SUMIF('11.1.Амортиз.нови активи'!$B$60:$B$107,$B140,'11.1.Амортиз.нови активи'!X$60:X$107)+('11.1.Амортиз.нови активи'!J$111*SUMIF('11.1.Амортиз.нови активи'!$B$60:$B$107,$B140,'11.1.Амортиз.нови активи'!AE$60:AE$107))</f>
        <v>0</v>
      </c>
      <c r="Y140" s="895">
        <f>$S140-SUMIF('11.2. Нови активи отч.год.'!$B$61:$B$108,$B140,'11.2. Нови активи отч.год.'!$S$61:$S$108)+SUMIF('11.2. Нови активи отч.год.'!$B$61:$B$108,$B140,'11.2. Нови активи отч.год.'!Y$61:Y$108)+SUMIF('11.1.Амортиз.нови активи'!$B$60:$B$107,$B140,'11.1.Амортиз.нови активи'!Y$60:Y$107)+('11.1.Амортиз.нови активи'!K$111*SUMIF('11.1.Амортиз.нови активи'!$B$60:$B$107,$B140,'11.1.Амортиз.нови активи'!AF$60:AF$107))</f>
        <v>0</v>
      </c>
      <c r="Z140" s="1672"/>
      <c r="AA140" s="1703"/>
      <c r="AB140" s="1727"/>
    </row>
    <row r="141" spans="1:28" s="1643" customFormat="1">
      <c r="A141" s="1730">
        <v>11</v>
      </c>
      <c r="B141" s="1675">
        <v>2040202</v>
      </c>
      <c r="C141" s="1676">
        <v>0.02</v>
      </c>
      <c r="D141" s="1624" t="s">
        <v>1008</v>
      </c>
      <c r="E141" s="2246">
        <v>0</v>
      </c>
      <c r="F141" s="893">
        <f>$E141-SUMIF('11.2. Нови активи отч.год.'!$B$61:$B$108,$B141,'11.2. Нови активи отч.год.'!$E$61:$E$108)+SUMIF('11.2. Нови активи отч.год.'!$B$61:$B$108,$B141,'11.2. Нови активи отч.год.'!F$61:F$108)+SUMIF('11.1.Амортиз.нови активи'!$B$60:$B$107,$B141,'11.1.Амортиз.нови активи'!F$60:F$107)+('11.1.Амортиз.нови активи'!F$109*SUMIF('11.1.Амортиз.нови активи'!$B$60:$B$107,$B141,'11.1.Амортиз.нови активи'!AA$60:AA$107))</f>
        <v>3.5000000000000004</v>
      </c>
      <c r="G141" s="894">
        <f>$E141-SUMIF('11.2. Нови активи отч.год.'!$B$61:$B$108,$B141,'11.2. Нови активи отч.год.'!$E$61:$E$108)+SUMIF('11.2. Нови активи отч.год.'!$B$61:$B$108,$B141,'11.2. Нови активи отч.год.'!G$61:G$108)+SUMIF('11.1.Амортиз.нови активи'!$B$60:$B$107,$B141,'11.1.Амортиз.нови активи'!G$60:G$107)+('11.1.Амортиз.нови активи'!G$109*SUMIF('11.1.Амортиз.нови активи'!$B$60:$B$107,$B141,'11.1.Амортиз.нови активи'!AB$60:AB$107))</f>
        <v>3.5000000000000004</v>
      </c>
      <c r="H141" s="894">
        <f>$E141-SUMIF('11.2. Нови активи отч.год.'!$B$61:$B$108,$B141,'11.2. Нови активи отч.год.'!$E$61:$E$108)+SUMIF('11.2. Нови активи отч.год.'!$B$61:$B$108,$B141,'11.2. Нови активи отч.год.'!H$61:H$108)+SUMIF('11.1.Амортиз.нови активи'!$B$60:$B$107,$B141,'11.1.Амортиз.нови активи'!H$60:H$107)+('11.1.Амортиз.нови активи'!H$109*SUMIF('11.1.Амортиз.нови активи'!$B$60:$B$107,$B141,'11.1.Амортиз.нови активи'!AC$60:AC$107))</f>
        <v>3.5000000000000004</v>
      </c>
      <c r="I141" s="894">
        <f>$E141-SUMIF('11.2. Нови активи отч.год.'!$B$61:$B$108,$B141,'11.2. Нови активи отч.год.'!$E$61:$E$108)+SUMIF('11.2. Нови активи отч.год.'!$B$61:$B$108,$B141,'11.2. Нови активи отч.год.'!I$61:I$108)+SUMIF('11.1.Амортиз.нови активи'!$B$60:$B$107,$B141,'11.1.Амортиз.нови активи'!I$60:I$107)+('11.1.Амортиз.нови активи'!I$109*SUMIF('11.1.Амортиз.нови активи'!$B$60:$B$107,$B141,'11.1.Амортиз.нови активи'!AD$60:AD$107))</f>
        <v>3.5000000000000004</v>
      </c>
      <c r="J141" s="894">
        <f>$E141-SUMIF('11.2. Нови активи отч.год.'!$B$61:$B$108,$B141,'11.2. Нови активи отч.год.'!$E$61:$E$108)+SUMIF('11.2. Нови активи отч.год.'!$B$61:$B$108,$B141,'11.2. Нови активи отч.год.'!J$61:J$108)+SUMIF('11.1.Амортиз.нови активи'!$B$60:$B$107,$B141,'11.1.Амортиз.нови активи'!J$60:J$107)+('11.1.Амортиз.нови активи'!J$109*SUMIF('11.1.Амортиз.нови активи'!$B$60:$B$107,$B141,'11.1.Амортиз.нови активи'!AE$60:AE$107))</f>
        <v>3.5000000000000004</v>
      </c>
      <c r="K141" s="894">
        <f>$E141-SUMIF('11.2. Нови активи отч.год.'!$B$61:$B$108,$B141,'11.2. Нови активи отч.год.'!$E$61:$E$108)+SUMIF('11.2. Нови активи отч.год.'!$B$61:$B$108,$B141,'11.2. Нови активи отч.год.'!K$61:K$108)+SUMIF('11.1.Амортиз.нови активи'!$B$60:$B$107,$B141,'11.1.Амортиз.нови активи'!K$60:K$107)+('11.1.Амортиз.нови активи'!K$109*SUMIF('11.1.Амортиз.нови активи'!$B$60:$B$107,$B141,'11.1.Амортиз.нови активи'!AF$60:AF$107))</f>
        <v>3.5000000000000004</v>
      </c>
      <c r="L141" s="2246">
        <v>0</v>
      </c>
      <c r="M141" s="893">
        <f>$L141-SUMIF('11.2. Нови активи отч.год.'!$B$61:$B$108,$B141,'11.2. Нови активи отч.год.'!$L$61:$L$108)+SUMIF('11.2. Нови активи отч.год.'!$B$61:$B$108,$B141,'11.2. Нови активи отч.год.'!M$61:M$108)+SUMIF('11.1.Амортиз.нови активи'!$B$60:$B$107,$B141,'11.1.Амортиз.нови активи'!M$60:M$107)+('11.1.Амортиз.нови активи'!F$110*SUMIF('11.1.Амортиз.нови активи'!$B$60:$B$107,$B141,'11.1.Амортиз.нови активи'!AA$60:AA$107))</f>
        <v>0</v>
      </c>
      <c r="N141" s="894">
        <f>$L141-SUMIF('11.2. Нови активи отч.год.'!$B$61:$B$108,$B141,'11.2. Нови активи отч.год.'!$L$61:$L$108)+SUMIF('11.2. Нови активи отч.год.'!$B$61:$B$108,$B141,'11.2. Нови активи отч.год.'!N$61:N$108)+SUMIF('11.1.Амортиз.нови активи'!$B$60:$B$107,$B141,'11.1.Амортиз.нови активи'!N$60:N$107)+('11.1.Амортиз.нови активи'!G$110*SUMIF('11.1.Амортиз.нови активи'!$B$60:$B$107,$B141,'11.1.Амортиз.нови активи'!AB$60:AB$107))</f>
        <v>0</v>
      </c>
      <c r="O141" s="894">
        <f>$L141-SUMIF('11.2. Нови активи отч.год.'!$B$61:$B$108,$B141,'11.2. Нови активи отч.год.'!$L$61:$L$108)+SUMIF('11.2. Нови активи отч.год.'!$B$61:$B$108,$B141,'11.2. Нови активи отч.год.'!O$61:O$108)+SUMIF('11.1.Амортиз.нови активи'!$B$60:$B$107,$B141,'11.1.Амортиз.нови активи'!O$60:O$107)+('11.1.Амортиз.нови активи'!H$110*SUMIF('11.1.Амортиз.нови активи'!$B$60:$B$107,$B141,'11.1.Амортиз.нови активи'!AC$60:AC$107))</f>
        <v>0</v>
      </c>
      <c r="P141" s="894">
        <f>$L141-SUMIF('11.2. Нови активи отч.год.'!$B$61:$B$108,$B141,'11.2. Нови активи отч.год.'!$L$61:$L$108)+SUMIF('11.2. Нови активи отч.год.'!$B$61:$B$108,$B141,'11.2. Нови активи отч.год.'!P$61:P$108)+SUMIF('11.1.Амортиз.нови активи'!$B$60:$B$107,$B141,'11.1.Амортиз.нови активи'!P$60:P$107)+('11.1.Амортиз.нови активи'!I$110*SUMIF('11.1.Амортиз.нови активи'!$B$60:$B$107,$B141,'11.1.Амортиз.нови активи'!AD$60:AD$107))</f>
        <v>0</v>
      </c>
      <c r="Q141" s="894">
        <f>$L141-SUMIF('11.2. Нови активи отч.год.'!$B$61:$B$108,$B141,'11.2. Нови активи отч.год.'!$L$61:$L$108)+SUMIF('11.2. Нови активи отч.год.'!$B$61:$B$108,$B141,'11.2. Нови активи отч.год.'!Q$61:Q$108)+SUMIF('11.1.Амортиз.нови активи'!$B$60:$B$107,$B141,'11.1.Амортиз.нови активи'!Q$60:Q$107)+('11.1.Амортиз.нови активи'!J$110*SUMIF('11.1.Амортиз.нови активи'!$B$60:$B$107,$B141,'11.1.Амортиз.нови активи'!AE$60:AE$107))</f>
        <v>0</v>
      </c>
      <c r="R141" s="895">
        <f>$L141-SUMIF('11.2. Нови активи отч.год.'!$B$61:$B$108,$B141,'11.2. Нови активи отч.год.'!$L$61:$L$108)+SUMIF('11.2. Нови активи отч.год.'!$B$61:$B$108,$B141,'11.2. Нови активи отч.год.'!R$61:R$108)+SUMIF('11.1.Амортиз.нови активи'!$B$60:$B$107,$B141,'11.1.Амортиз.нови активи'!R$60:R$107)+('11.1.Амортиз.нови активи'!K$110*SUMIF('11.1.Амортиз.нови активи'!$B$60:$B$107,$B141,'11.1.Амортиз.нови активи'!AF$60:AF$107))</f>
        <v>0</v>
      </c>
      <c r="S141" s="2246">
        <v>0</v>
      </c>
      <c r="T141" s="893">
        <f>$S141-SUMIF('11.2. Нови активи отч.год.'!$B$61:$B$108,$B141,'11.2. Нови активи отч.год.'!$S$61:$S$108)+SUMIF('11.2. Нови активи отч.год.'!$B$61:$B$108,$B141,'11.2. Нови активи отч.год.'!T$61:T$108)+SUMIF('11.1.Амортиз.нови активи'!$B$60:$B$107,$B141,'11.1.Амортиз.нови активи'!T$60:T$107)+('11.1.Амортиз.нови активи'!F$111*SUMIF('11.1.Амортиз.нови активи'!$B$60:$B$107,$B141,'11.1.Амортиз.нови активи'!AA$60:AA$107))</f>
        <v>0</v>
      </c>
      <c r="U141" s="894">
        <f>$S141-SUMIF('11.2. Нови активи отч.год.'!$B$61:$B$108,$B141,'11.2. Нови активи отч.год.'!$S$61:$S$108)+SUMIF('11.2. Нови активи отч.год.'!$B$61:$B$108,$B141,'11.2. Нови активи отч.год.'!U$61:U$108)+SUMIF('11.1.Амортиз.нови активи'!$B$60:$B$107,$B141,'11.1.Амортиз.нови активи'!U$60:U$107)+('11.1.Амортиз.нови активи'!G$111*SUMIF('11.1.Амортиз.нови активи'!$B$60:$B$107,$B141,'11.1.Амортиз.нови активи'!AB$60:AB$107))</f>
        <v>0</v>
      </c>
      <c r="V141" s="894">
        <f>$S141-SUMIF('11.2. Нови активи отч.год.'!$B$61:$B$108,$B141,'11.2. Нови активи отч.год.'!$S$61:$S$108)+SUMIF('11.2. Нови активи отч.год.'!$B$61:$B$108,$B141,'11.2. Нови активи отч.год.'!V$61:V$108)+SUMIF('11.1.Амортиз.нови активи'!$B$60:$B$107,$B141,'11.1.Амортиз.нови активи'!V$60:V$107)+('11.1.Амортиз.нови активи'!H$111*SUMIF('11.1.Амортиз.нови активи'!$B$60:$B$107,$B141,'11.1.Амортиз.нови активи'!AC$60:AC$107))</f>
        <v>0</v>
      </c>
      <c r="W141" s="894">
        <f>$S141-SUMIF('11.2. Нови активи отч.год.'!$B$61:$B$108,$B141,'11.2. Нови активи отч.год.'!$S$61:$S$108)+SUMIF('11.2. Нови активи отч.год.'!$B$61:$B$108,$B141,'11.2. Нови активи отч.год.'!W$61:W$108)+SUMIF('11.1.Амортиз.нови активи'!$B$60:$B$107,$B141,'11.1.Амортиз.нови активи'!W$60:W$107)+('11.1.Амортиз.нови активи'!I$111*SUMIF('11.1.Амортиз.нови активи'!$B$60:$B$107,$B141,'11.1.Амортиз.нови активи'!AD$60:AD$107))</f>
        <v>0</v>
      </c>
      <c r="X141" s="894">
        <f>$S141-SUMIF('11.2. Нови активи отч.год.'!$B$61:$B$108,$B141,'11.2. Нови активи отч.год.'!$S$61:$S$108)+SUMIF('11.2. Нови активи отч.год.'!$B$61:$B$108,$B141,'11.2. Нови активи отч.год.'!X$61:X$108)+SUMIF('11.1.Амортиз.нови активи'!$B$60:$B$107,$B141,'11.1.Амортиз.нови активи'!X$60:X$107)+('11.1.Амортиз.нови активи'!J$111*SUMIF('11.1.Амортиз.нови активи'!$B$60:$B$107,$B141,'11.1.Амортиз.нови активи'!AE$60:AE$107))</f>
        <v>0</v>
      </c>
      <c r="Y141" s="895">
        <f>$S141-SUMIF('11.2. Нови активи отч.год.'!$B$61:$B$108,$B141,'11.2. Нови активи отч.год.'!$S$61:$S$108)+SUMIF('11.2. Нови активи отч.год.'!$B$61:$B$108,$B141,'11.2. Нови активи отч.год.'!Y$61:Y$108)+SUMIF('11.1.Амортиз.нови активи'!$B$60:$B$107,$B141,'11.1.Амортиз.нови активи'!Y$60:Y$107)+('11.1.Амортиз.нови активи'!K$111*SUMIF('11.1.Амортиз.нови активи'!$B$60:$B$107,$B141,'11.1.Амортиз.нови активи'!AF$60:AF$107))</f>
        <v>0</v>
      </c>
      <c r="Z141" s="1672"/>
      <c r="AA141" s="1703"/>
      <c r="AB141" s="1727"/>
    </row>
    <row r="142" spans="1:28" s="1643" customFormat="1">
      <c r="A142" s="1730">
        <v>12</v>
      </c>
      <c r="B142" s="1675">
        <v>2040203</v>
      </c>
      <c r="C142" s="1676">
        <v>0.02</v>
      </c>
      <c r="D142" s="1624" t="s">
        <v>590</v>
      </c>
      <c r="E142" s="2246">
        <v>0</v>
      </c>
      <c r="F142" s="893">
        <f>$E142-SUMIF('11.2. Нови активи отч.год.'!$B$61:$B$108,$B142,'11.2. Нови активи отч.год.'!$E$61:$E$108)+SUMIF('11.2. Нови активи отч.год.'!$B$61:$B$108,$B142,'11.2. Нови активи отч.год.'!F$61:F$108)+SUMIF('11.1.Амортиз.нови активи'!$B$60:$B$107,$B142,'11.1.Амортиз.нови активи'!F$60:F$107)+('11.1.Амортиз.нови активи'!F$109*SUMIF('11.1.Амортиз.нови активи'!$B$60:$B$107,$B142,'11.1.Амортиз.нови активи'!AA$60:AA$107))</f>
        <v>0.42</v>
      </c>
      <c r="G142" s="894">
        <f>$E142-SUMIF('11.2. Нови активи отч.год.'!$B$61:$B$108,$B142,'11.2. Нови активи отч.год.'!$E$61:$E$108)+SUMIF('11.2. Нови активи отч.год.'!$B$61:$B$108,$B142,'11.2. Нови активи отч.год.'!G$61:G$108)+SUMIF('11.1.Амортиз.нови активи'!$B$60:$B$107,$B142,'11.1.Амортиз.нови активи'!G$60:G$107)+('11.1.Амортиз.нови активи'!G$109*SUMIF('11.1.Амортиз.нови активи'!$B$60:$B$107,$B142,'11.1.Амортиз.нови активи'!AB$60:AB$107))</f>
        <v>0.42</v>
      </c>
      <c r="H142" s="894">
        <f>$E142-SUMIF('11.2. Нови активи отч.год.'!$B$61:$B$108,$B142,'11.2. Нови активи отч.год.'!$E$61:$E$108)+SUMIF('11.2. Нови активи отч.год.'!$B$61:$B$108,$B142,'11.2. Нови активи отч.год.'!H$61:H$108)+SUMIF('11.1.Амортиз.нови активи'!$B$60:$B$107,$B142,'11.1.Амортиз.нови активи'!H$60:H$107)+('11.1.Амортиз.нови активи'!H$109*SUMIF('11.1.Амортиз.нови активи'!$B$60:$B$107,$B142,'11.1.Амортиз.нови активи'!AC$60:AC$107))</f>
        <v>0.42</v>
      </c>
      <c r="I142" s="894">
        <f>$E142-SUMIF('11.2. Нови активи отч.год.'!$B$61:$B$108,$B142,'11.2. Нови активи отч.год.'!$E$61:$E$108)+SUMIF('11.2. Нови активи отч.год.'!$B$61:$B$108,$B142,'11.2. Нови активи отч.год.'!I$61:I$108)+SUMIF('11.1.Амортиз.нови активи'!$B$60:$B$107,$B142,'11.1.Амортиз.нови активи'!I$60:I$107)+('11.1.Амортиз.нови активи'!I$109*SUMIF('11.1.Амортиз.нови активи'!$B$60:$B$107,$B142,'11.1.Амортиз.нови активи'!AD$60:AD$107))</f>
        <v>0.42</v>
      </c>
      <c r="J142" s="894">
        <f>$E142-SUMIF('11.2. Нови активи отч.год.'!$B$61:$B$108,$B142,'11.2. Нови активи отч.год.'!$E$61:$E$108)+SUMIF('11.2. Нови активи отч.год.'!$B$61:$B$108,$B142,'11.2. Нови активи отч.год.'!J$61:J$108)+SUMIF('11.1.Амортиз.нови активи'!$B$60:$B$107,$B142,'11.1.Амортиз.нови активи'!J$60:J$107)+('11.1.Амортиз.нови активи'!J$109*SUMIF('11.1.Амортиз.нови активи'!$B$60:$B$107,$B142,'11.1.Амортиз.нови активи'!AE$60:AE$107))</f>
        <v>0.42</v>
      </c>
      <c r="K142" s="894">
        <f>$E142-SUMIF('11.2. Нови активи отч.год.'!$B$61:$B$108,$B142,'11.2. Нови активи отч.год.'!$E$61:$E$108)+SUMIF('11.2. Нови активи отч.год.'!$B$61:$B$108,$B142,'11.2. Нови активи отч.год.'!K$61:K$108)+SUMIF('11.1.Амортиз.нови активи'!$B$60:$B$107,$B142,'11.1.Амортиз.нови активи'!K$60:K$107)+('11.1.Амортиз.нови активи'!K$109*SUMIF('11.1.Амортиз.нови активи'!$B$60:$B$107,$B142,'11.1.Амортиз.нови активи'!AF$60:AF$107))</f>
        <v>0.42</v>
      </c>
      <c r="L142" s="2246">
        <v>0</v>
      </c>
      <c r="M142" s="893">
        <f>$L142-SUMIF('11.2. Нови активи отч.год.'!$B$61:$B$108,$B142,'11.2. Нови активи отч.год.'!$L$61:$L$108)+SUMIF('11.2. Нови активи отч.год.'!$B$61:$B$108,$B142,'11.2. Нови активи отч.год.'!M$61:M$108)+SUMIF('11.1.Амортиз.нови активи'!$B$60:$B$107,$B142,'11.1.Амортиз.нови активи'!M$60:M$107)+('11.1.Амортиз.нови активи'!F$110*SUMIF('11.1.Амортиз.нови активи'!$B$60:$B$107,$B142,'11.1.Амортиз.нови активи'!AA$60:AA$107))</f>
        <v>0</v>
      </c>
      <c r="N142" s="894">
        <f>$L142-SUMIF('11.2. Нови активи отч.год.'!$B$61:$B$108,$B142,'11.2. Нови активи отч.год.'!$L$61:$L$108)+SUMIF('11.2. Нови активи отч.год.'!$B$61:$B$108,$B142,'11.2. Нови активи отч.год.'!N$61:N$108)+SUMIF('11.1.Амортиз.нови активи'!$B$60:$B$107,$B142,'11.1.Амортиз.нови активи'!N$60:N$107)+('11.1.Амортиз.нови активи'!G$110*SUMIF('11.1.Амортиз.нови активи'!$B$60:$B$107,$B142,'11.1.Амортиз.нови активи'!AB$60:AB$107))</f>
        <v>0</v>
      </c>
      <c r="O142" s="894">
        <f>$L142-SUMIF('11.2. Нови активи отч.год.'!$B$61:$B$108,$B142,'11.2. Нови активи отч.год.'!$L$61:$L$108)+SUMIF('11.2. Нови активи отч.год.'!$B$61:$B$108,$B142,'11.2. Нови активи отч.год.'!O$61:O$108)+SUMIF('11.1.Амортиз.нови активи'!$B$60:$B$107,$B142,'11.1.Амортиз.нови активи'!O$60:O$107)+('11.1.Амортиз.нови активи'!H$110*SUMIF('11.1.Амортиз.нови активи'!$B$60:$B$107,$B142,'11.1.Амортиз.нови активи'!AC$60:AC$107))</f>
        <v>0</v>
      </c>
      <c r="P142" s="894">
        <f>$L142-SUMIF('11.2. Нови активи отч.год.'!$B$61:$B$108,$B142,'11.2. Нови активи отч.год.'!$L$61:$L$108)+SUMIF('11.2. Нови активи отч.год.'!$B$61:$B$108,$B142,'11.2. Нови активи отч.год.'!P$61:P$108)+SUMIF('11.1.Амортиз.нови активи'!$B$60:$B$107,$B142,'11.1.Амортиз.нови активи'!P$60:P$107)+('11.1.Амортиз.нови активи'!I$110*SUMIF('11.1.Амортиз.нови активи'!$B$60:$B$107,$B142,'11.1.Амортиз.нови активи'!AD$60:AD$107))</f>
        <v>0</v>
      </c>
      <c r="Q142" s="894">
        <f>$L142-SUMIF('11.2. Нови активи отч.год.'!$B$61:$B$108,$B142,'11.2. Нови активи отч.год.'!$L$61:$L$108)+SUMIF('11.2. Нови активи отч.год.'!$B$61:$B$108,$B142,'11.2. Нови активи отч.год.'!Q$61:Q$108)+SUMIF('11.1.Амортиз.нови активи'!$B$60:$B$107,$B142,'11.1.Амортиз.нови активи'!Q$60:Q$107)+('11.1.Амортиз.нови активи'!J$110*SUMIF('11.1.Амортиз.нови активи'!$B$60:$B$107,$B142,'11.1.Амортиз.нови активи'!AE$60:AE$107))</f>
        <v>0</v>
      </c>
      <c r="R142" s="895">
        <f>$L142-SUMIF('11.2. Нови активи отч.год.'!$B$61:$B$108,$B142,'11.2. Нови активи отч.год.'!$L$61:$L$108)+SUMIF('11.2. Нови активи отч.год.'!$B$61:$B$108,$B142,'11.2. Нови активи отч.год.'!R$61:R$108)+SUMIF('11.1.Амортиз.нови активи'!$B$60:$B$107,$B142,'11.1.Амортиз.нови активи'!R$60:R$107)+('11.1.Амортиз.нови активи'!K$110*SUMIF('11.1.Амортиз.нови активи'!$B$60:$B$107,$B142,'11.1.Амортиз.нови активи'!AF$60:AF$107))</f>
        <v>0</v>
      </c>
      <c r="S142" s="2246">
        <v>0</v>
      </c>
      <c r="T142" s="893">
        <f>$S142-SUMIF('11.2. Нови активи отч.год.'!$B$61:$B$108,$B142,'11.2. Нови активи отч.год.'!$S$61:$S$108)+SUMIF('11.2. Нови активи отч.год.'!$B$61:$B$108,$B142,'11.2. Нови активи отч.год.'!T$61:T$108)+SUMIF('11.1.Амортиз.нови активи'!$B$60:$B$107,$B142,'11.1.Амортиз.нови активи'!T$60:T$107)+('11.1.Амортиз.нови активи'!F$111*SUMIF('11.1.Амортиз.нови активи'!$B$60:$B$107,$B142,'11.1.Амортиз.нови активи'!AA$60:AA$107))</f>
        <v>0</v>
      </c>
      <c r="U142" s="894">
        <f>$S142-SUMIF('11.2. Нови активи отч.год.'!$B$61:$B$108,$B142,'11.2. Нови активи отч.год.'!$S$61:$S$108)+SUMIF('11.2. Нови активи отч.год.'!$B$61:$B$108,$B142,'11.2. Нови активи отч.год.'!U$61:U$108)+SUMIF('11.1.Амортиз.нови активи'!$B$60:$B$107,$B142,'11.1.Амортиз.нови активи'!U$60:U$107)+('11.1.Амортиз.нови активи'!G$111*SUMIF('11.1.Амортиз.нови активи'!$B$60:$B$107,$B142,'11.1.Амортиз.нови активи'!AB$60:AB$107))</f>
        <v>0</v>
      </c>
      <c r="V142" s="894">
        <f>$S142-SUMIF('11.2. Нови активи отч.год.'!$B$61:$B$108,$B142,'11.2. Нови активи отч.год.'!$S$61:$S$108)+SUMIF('11.2. Нови активи отч.год.'!$B$61:$B$108,$B142,'11.2. Нови активи отч.год.'!V$61:V$108)+SUMIF('11.1.Амортиз.нови активи'!$B$60:$B$107,$B142,'11.1.Амортиз.нови активи'!V$60:V$107)+('11.1.Амортиз.нови активи'!H$111*SUMIF('11.1.Амортиз.нови активи'!$B$60:$B$107,$B142,'11.1.Амортиз.нови активи'!AC$60:AC$107))</f>
        <v>0</v>
      </c>
      <c r="W142" s="894">
        <f>$S142-SUMIF('11.2. Нови активи отч.год.'!$B$61:$B$108,$B142,'11.2. Нови активи отч.год.'!$S$61:$S$108)+SUMIF('11.2. Нови активи отч.год.'!$B$61:$B$108,$B142,'11.2. Нови активи отч.год.'!W$61:W$108)+SUMIF('11.1.Амортиз.нови активи'!$B$60:$B$107,$B142,'11.1.Амортиз.нови активи'!W$60:W$107)+('11.1.Амортиз.нови активи'!I$111*SUMIF('11.1.Амортиз.нови активи'!$B$60:$B$107,$B142,'11.1.Амортиз.нови активи'!AD$60:AD$107))</f>
        <v>0</v>
      </c>
      <c r="X142" s="894">
        <f>$S142-SUMIF('11.2. Нови активи отч.год.'!$B$61:$B$108,$B142,'11.2. Нови активи отч.год.'!$S$61:$S$108)+SUMIF('11.2. Нови активи отч.год.'!$B$61:$B$108,$B142,'11.2. Нови активи отч.год.'!X$61:X$108)+SUMIF('11.1.Амортиз.нови активи'!$B$60:$B$107,$B142,'11.1.Амортиз.нови активи'!X$60:X$107)+('11.1.Амортиз.нови активи'!J$111*SUMIF('11.1.Амортиз.нови активи'!$B$60:$B$107,$B142,'11.1.Амортиз.нови активи'!AE$60:AE$107))</f>
        <v>0</v>
      </c>
      <c r="Y142" s="895">
        <f>$S142-SUMIF('11.2. Нови активи отч.год.'!$B$61:$B$108,$B142,'11.2. Нови активи отч.год.'!$S$61:$S$108)+SUMIF('11.2. Нови активи отч.год.'!$B$61:$B$108,$B142,'11.2. Нови активи отч.год.'!Y$61:Y$108)+SUMIF('11.1.Амортиз.нови активи'!$B$60:$B$107,$B142,'11.1.Амортиз.нови активи'!Y$60:Y$107)+('11.1.Амортиз.нови активи'!K$111*SUMIF('11.1.Амортиз.нови активи'!$B$60:$B$107,$B142,'11.1.Амортиз.нови активи'!AF$60:AF$107))</f>
        <v>0</v>
      </c>
      <c r="Z142" s="1672"/>
      <c r="AA142" s="1703"/>
      <c r="AB142" s="1727"/>
    </row>
    <row r="143" spans="1:28" s="1643" customFormat="1">
      <c r="A143" s="1730">
        <v>13</v>
      </c>
      <c r="B143" s="1675">
        <v>2040204</v>
      </c>
      <c r="C143" s="1676">
        <v>0.02</v>
      </c>
      <c r="D143" s="1638" t="s">
        <v>591</v>
      </c>
      <c r="E143" s="2246">
        <v>0</v>
      </c>
      <c r="F143" s="893">
        <f>$E143-SUMIF('11.2. Нови активи отч.год.'!$B$61:$B$108,$B143,'11.2. Нови активи отч.год.'!$E$61:$E$108)+SUMIF('11.2. Нови активи отч.год.'!$B$61:$B$108,$B143,'11.2. Нови активи отч.год.'!F$61:F$108)+SUMIF('11.1.Амортиз.нови активи'!$B$60:$B$107,$B143,'11.1.Амортиз.нови активи'!F$60:F$107)+('11.1.Амортиз.нови активи'!F$109*SUMIF('11.1.Амортиз.нови активи'!$B$60:$B$107,$B143,'11.1.Амортиз.нови активи'!AA$60:AA$107))</f>
        <v>0</v>
      </c>
      <c r="G143" s="894">
        <f>$E143-SUMIF('11.2. Нови активи отч.год.'!$B$61:$B$108,$B143,'11.2. Нови активи отч.год.'!$E$61:$E$108)+SUMIF('11.2. Нови активи отч.год.'!$B$61:$B$108,$B143,'11.2. Нови активи отч.год.'!G$61:G$108)+SUMIF('11.1.Амортиз.нови активи'!$B$60:$B$107,$B143,'11.1.Амортиз.нови активи'!G$60:G$107)+('11.1.Амортиз.нови активи'!G$109*SUMIF('11.1.Амортиз.нови активи'!$B$60:$B$107,$B143,'11.1.Амортиз.нови активи'!AB$60:AB$107))</f>
        <v>0.1</v>
      </c>
      <c r="H143" s="894">
        <f>$E143-SUMIF('11.2. Нови активи отч.год.'!$B$61:$B$108,$B143,'11.2. Нови активи отч.год.'!$E$61:$E$108)+SUMIF('11.2. Нови активи отч.год.'!$B$61:$B$108,$B143,'11.2. Нови активи отч.год.'!H$61:H$108)+SUMIF('11.1.Амортиз.нови активи'!$B$60:$B$107,$B143,'11.1.Амортиз.нови активи'!H$60:H$107)+('11.1.Амортиз.нови активи'!H$109*SUMIF('11.1.Амортиз.нови активи'!$B$60:$B$107,$B143,'11.1.Амортиз.нови активи'!AC$60:AC$107))</f>
        <v>0.30000000000000004</v>
      </c>
      <c r="I143" s="894">
        <f>$E143-SUMIF('11.2. Нови активи отч.год.'!$B$61:$B$108,$B143,'11.2. Нови активи отч.год.'!$E$61:$E$108)+SUMIF('11.2. Нови активи отч.год.'!$B$61:$B$108,$B143,'11.2. Нови активи отч.год.'!I$61:I$108)+SUMIF('11.1.Амортиз.нови активи'!$B$60:$B$107,$B143,'11.1.Амортиз.нови активи'!I$60:I$107)+('11.1.Амортиз.нови активи'!I$109*SUMIF('11.1.Амортиз.нови активи'!$B$60:$B$107,$B143,'11.1.Амортиз.нови активи'!AD$60:AD$107))</f>
        <v>0.5</v>
      </c>
      <c r="J143" s="894">
        <f>$E143-SUMIF('11.2. Нови активи отч.год.'!$B$61:$B$108,$B143,'11.2. Нови активи отч.год.'!$E$61:$E$108)+SUMIF('11.2. Нови активи отч.год.'!$B$61:$B$108,$B143,'11.2. Нови активи отч.год.'!J$61:J$108)+SUMIF('11.1.Амортиз.нови активи'!$B$60:$B$107,$B143,'11.1.Амортиз.нови активи'!J$60:J$107)+('11.1.Амортиз.нови активи'!J$109*SUMIF('11.1.Амортиз.нови активи'!$B$60:$B$107,$B143,'11.1.Амортиз.нови активи'!AE$60:AE$107))</f>
        <v>0.70000000000000007</v>
      </c>
      <c r="K143" s="894">
        <f>$E143-SUMIF('11.2. Нови активи отч.год.'!$B$61:$B$108,$B143,'11.2. Нови активи отч.год.'!$E$61:$E$108)+SUMIF('11.2. Нови активи отч.год.'!$B$61:$B$108,$B143,'11.2. Нови активи отч.год.'!K$61:K$108)+SUMIF('11.1.Амортиз.нови активи'!$B$60:$B$107,$B143,'11.1.Амортиз.нови активи'!K$60:K$107)+('11.1.Амортиз.нови активи'!K$109*SUMIF('11.1.Амортиз.нови активи'!$B$60:$B$107,$B143,'11.1.Амортиз.нови активи'!AF$60:AF$107))</f>
        <v>0.9</v>
      </c>
      <c r="L143" s="2246">
        <v>0</v>
      </c>
      <c r="M143" s="893">
        <f>$L143-SUMIF('11.2. Нови активи отч.год.'!$B$61:$B$108,$B143,'11.2. Нови активи отч.год.'!$L$61:$L$108)+SUMIF('11.2. Нови активи отч.год.'!$B$61:$B$108,$B143,'11.2. Нови активи отч.год.'!M$61:M$108)+SUMIF('11.1.Амортиз.нови активи'!$B$60:$B$107,$B143,'11.1.Амортиз.нови активи'!M$60:M$107)+('11.1.Амортиз.нови активи'!F$110*SUMIF('11.1.Амортиз.нови активи'!$B$60:$B$107,$B143,'11.1.Амортиз.нови активи'!AA$60:AA$107))</f>
        <v>0</v>
      </c>
      <c r="N143" s="894">
        <f>$L143-SUMIF('11.2. Нови активи отч.год.'!$B$61:$B$108,$B143,'11.2. Нови активи отч.год.'!$L$61:$L$108)+SUMIF('11.2. Нови активи отч.год.'!$B$61:$B$108,$B143,'11.2. Нови активи отч.год.'!N$61:N$108)+SUMIF('11.1.Амортиз.нови активи'!$B$60:$B$107,$B143,'11.1.Амортиз.нови активи'!N$60:N$107)+('11.1.Амортиз.нови активи'!G$110*SUMIF('11.1.Амортиз.нови активи'!$B$60:$B$107,$B143,'11.1.Амортиз.нови активи'!AB$60:AB$107))</f>
        <v>0</v>
      </c>
      <c r="O143" s="894">
        <f>$L143-SUMIF('11.2. Нови активи отч.год.'!$B$61:$B$108,$B143,'11.2. Нови активи отч.год.'!$L$61:$L$108)+SUMIF('11.2. Нови активи отч.год.'!$B$61:$B$108,$B143,'11.2. Нови активи отч.год.'!O$61:O$108)+SUMIF('11.1.Амортиз.нови активи'!$B$60:$B$107,$B143,'11.1.Амортиз.нови активи'!O$60:O$107)+('11.1.Амортиз.нови активи'!H$110*SUMIF('11.1.Амортиз.нови активи'!$B$60:$B$107,$B143,'11.1.Амортиз.нови активи'!AC$60:AC$107))</f>
        <v>0</v>
      </c>
      <c r="P143" s="894">
        <f>$L143-SUMIF('11.2. Нови активи отч.год.'!$B$61:$B$108,$B143,'11.2. Нови активи отч.год.'!$L$61:$L$108)+SUMIF('11.2. Нови активи отч.год.'!$B$61:$B$108,$B143,'11.2. Нови активи отч.год.'!P$61:P$108)+SUMIF('11.1.Амортиз.нови активи'!$B$60:$B$107,$B143,'11.1.Амортиз.нови активи'!P$60:P$107)+('11.1.Амортиз.нови активи'!I$110*SUMIF('11.1.Амортиз.нови активи'!$B$60:$B$107,$B143,'11.1.Амортиз.нови активи'!AD$60:AD$107))</f>
        <v>0</v>
      </c>
      <c r="Q143" s="894">
        <f>$L143-SUMIF('11.2. Нови активи отч.год.'!$B$61:$B$108,$B143,'11.2. Нови активи отч.год.'!$L$61:$L$108)+SUMIF('11.2. Нови активи отч.год.'!$B$61:$B$108,$B143,'11.2. Нови активи отч.год.'!Q$61:Q$108)+SUMIF('11.1.Амортиз.нови активи'!$B$60:$B$107,$B143,'11.1.Амортиз.нови активи'!Q$60:Q$107)+('11.1.Амортиз.нови активи'!J$110*SUMIF('11.1.Амортиз.нови активи'!$B$60:$B$107,$B143,'11.1.Амортиз.нови активи'!AE$60:AE$107))</f>
        <v>0</v>
      </c>
      <c r="R143" s="895">
        <f>$L143-SUMIF('11.2. Нови активи отч.год.'!$B$61:$B$108,$B143,'11.2. Нови активи отч.год.'!$L$61:$L$108)+SUMIF('11.2. Нови активи отч.год.'!$B$61:$B$108,$B143,'11.2. Нови активи отч.год.'!R$61:R$108)+SUMIF('11.1.Амортиз.нови активи'!$B$60:$B$107,$B143,'11.1.Амортиз.нови активи'!R$60:R$107)+('11.1.Амортиз.нови активи'!K$110*SUMIF('11.1.Амортиз.нови активи'!$B$60:$B$107,$B143,'11.1.Амортиз.нови активи'!AF$60:AF$107))</f>
        <v>0</v>
      </c>
      <c r="S143" s="2246">
        <v>0</v>
      </c>
      <c r="T143" s="893">
        <f>$S143-SUMIF('11.2. Нови активи отч.год.'!$B$61:$B$108,$B143,'11.2. Нови активи отч.год.'!$S$61:$S$108)+SUMIF('11.2. Нови активи отч.год.'!$B$61:$B$108,$B143,'11.2. Нови активи отч.год.'!T$61:T$108)+SUMIF('11.1.Амортиз.нови активи'!$B$60:$B$107,$B143,'11.1.Амортиз.нови активи'!T$60:T$107)+('11.1.Амортиз.нови активи'!F$111*SUMIF('11.1.Амортиз.нови активи'!$B$60:$B$107,$B143,'11.1.Амортиз.нови активи'!AA$60:AA$107))</f>
        <v>0</v>
      </c>
      <c r="U143" s="894">
        <f>$S143-SUMIF('11.2. Нови активи отч.год.'!$B$61:$B$108,$B143,'11.2. Нови активи отч.год.'!$S$61:$S$108)+SUMIF('11.2. Нови активи отч.год.'!$B$61:$B$108,$B143,'11.2. Нови активи отч.год.'!U$61:U$108)+SUMIF('11.1.Амортиз.нови активи'!$B$60:$B$107,$B143,'11.1.Амортиз.нови активи'!U$60:U$107)+('11.1.Амортиз.нови активи'!G$111*SUMIF('11.1.Амортиз.нови активи'!$B$60:$B$107,$B143,'11.1.Амортиз.нови активи'!AB$60:AB$107))</f>
        <v>0</v>
      </c>
      <c r="V143" s="894">
        <f>$S143-SUMIF('11.2. Нови активи отч.год.'!$B$61:$B$108,$B143,'11.2. Нови активи отч.год.'!$S$61:$S$108)+SUMIF('11.2. Нови активи отч.год.'!$B$61:$B$108,$B143,'11.2. Нови активи отч.год.'!V$61:V$108)+SUMIF('11.1.Амортиз.нови активи'!$B$60:$B$107,$B143,'11.1.Амортиз.нови активи'!V$60:V$107)+('11.1.Амортиз.нови активи'!H$111*SUMIF('11.1.Амортиз.нови активи'!$B$60:$B$107,$B143,'11.1.Амортиз.нови активи'!AC$60:AC$107))</f>
        <v>0</v>
      </c>
      <c r="W143" s="894">
        <f>$S143-SUMIF('11.2. Нови активи отч.год.'!$B$61:$B$108,$B143,'11.2. Нови активи отч.год.'!$S$61:$S$108)+SUMIF('11.2. Нови активи отч.год.'!$B$61:$B$108,$B143,'11.2. Нови активи отч.год.'!W$61:W$108)+SUMIF('11.1.Амортиз.нови активи'!$B$60:$B$107,$B143,'11.1.Амортиз.нови активи'!W$60:W$107)+('11.1.Амортиз.нови активи'!I$111*SUMIF('11.1.Амортиз.нови активи'!$B$60:$B$107,$B143,'11.1.Амортиз.нови активи'!AD$60:AD$107))</f>
        <v>0</v>
      </c>
      <c r="X143" s="894">
        <f>$S143-SUMIF('11.2. Нови активи отч.год.'!$B$61:$B$108,$B143,'11.2. Нови активи отч.год.'!$S$61:$S$108)+SUMIF('11.2. Нови активи отч.год.'!$B$61:$B$108,$B143,'11.2. Нови активи отч.год.'!X$61:X$108)+SUMIF('11.1.Амортиз.нови активи'!$B$60:$B$107,$B143,'11.1.Амортиз.нови активи'!X$60:X$107)+('11.1.Амортиз.нови активи'!J$111*SUMIF('11.1.Амортиз.нови активи'!$B$60:$B$107,$B143,'11.1.Амортиз.нови активи'!AE$60:AE$107))</f>
        <v>0</v>
      </c>
      <c r="Y143" s="895">
        <f>$S143-SUMIF('11.2. Нови активи отч.год.'!$B$61:$B$108,$B143,'11.2. Нови активи отч.год.'!$S$61:$S$108)+SUMIF('11.2. Нови активи отч.год.'!$B$61:$B$108,$B143,'11.2. Нови активи отч.год.'!Y$61:Y$108)+SUMIF('11.1.Амортиз.нови активи'!$B$60:$B$107,$B143,'11.1.Амортиз.нови активи'!Y$60:Y$107)+('11.1.Амортиз.нови активи'!K$111*SUMIF('11.1.Амортиз.нови активи'!$B$60:$B$107,$B143,'11.1.Амортиз.нови активи'!AF$60:AF$107))</f>
        <v>0</v>
      </c>
      <c r="Z143" s="1672"/>
      <c r="AA143" s="1703"/>
      <c r="AB143" s="1727"/>
    </row>
    <row r="144" spans="1:28" s="1643" customFormat="1">
      <c r="A144" s="1730">
        <v>14</v>
      </c>
      <c r="B144" s="1675">
        <v>2040205</v>
      </c>
      <c r="C144" s="1676">
        <v>0.02</v>
      </c>
      <c r="D144" s="1624" t="s">
        <v>592</v>
      </c>
      <c r="E144" s="2246">
        <v>0</v>
      </c>
      <c r="F144" s="893">
        <f>$E144-SUMIF('11.2. Нови активи отч.год.'!$B$61:$B$108,$B144,'11.2. Нови активи отч.год.'!$E$61:$E$108)+SUMIF('11.2. Нови активи отч.год.'!$B$61:$B$108,$B144,'11.2. Нови активи отч.год.'!F$61:F$108)+SUMIF('11.1.Амортиз.нови активи'!$B$60:$B$107,$B144,'11.1.Амортиз.нови активи'!F$60:F$107)+('11.1.Амортиз.нови активи'!F$109*SUMIF('11.1.Амортиз.нови активи'!$B$60:$B$107,$B144,'11.1.Амортиз.нови активи'!AA$60:AA$107))</f>
        <v>28.520000000000003</v>
      </c>
      <c r="G144" s="894">
        <f>$E144-SUMIF('11.2. Нови активи отч.год.'!$B$61:$B$108,$B144,'11.2. Нови активи отч.год.'!$E$61:$E$108)+SUMIF('11.2. Нови активи отч.год.'!$B$61:$B$108,$B144,'11.2. Нови активи отч.год.'!G$61:G$108)+SUMIF('11.1.Амортиз.нови активи'!$B$60:$B$107,$B144,'11.1.Амортиз.нови активи'!G$60:G$107)+('11.1.Амортиз.нови активи'!G$109*SUMIF('11.1.Амортиз.нови активи'!$B$60:$B$107,$B144,'11.1.Амортиз.нови активи'!AB$60:AB$107))</f>
        <v>44.08</v>
      </c>
      <c r="H144" s="894">
        <f>$E144-SUMIF('11.2. Нови активи отч.год.'!$B$61:$B$108,$B144,'11.2. Нови активи отч.год.'!$E$61:$E$108)+SUMIF('11.2. Нови активи отч.год.'!$B$61:$B$108,$B144,'11.2. Нови активи отч.год.'!H$61:H$108)+SUMIF('11.1.Амортиз.нови активи'!$B$60:$B$107,$B144,'11.1.Амортиз.нови активи'!H$60:H$107)+('11.1.Амортиз.нови активи'!H$109*SUMIF('11.1.Амортиз.нови активи'!$B$60:$B$107,$B144,'11.1.Амортиз.нови активи'!AC$60:AC$107))</f>
        <v>53.480000000000004</v>
      </c>
      <c r="I144" s="894">
        <f>$E144-SUMIF('11.2. Нови активи отч.год.'!$B$61:$B$108,$B144,'11.2. Нови активи отч.год.'!$E$61:$E$108)+SUMIF('11.2. Нови активи отч.год.'!$B$61:$B$108,$B144,'11.2. Нови активи отч.год.'!I$61:I$108)+SUMIF('11.1.Амортиз.нови активи'!$B$60:$B$107,$B144,'11.1.Амортиз.нови активи'!I$60:I$107)+('11.1.Амортиз.нови активи'!I$109*SUMIF('11.1.Амортиз.нови активи'!$B$60:$B$107,$B144,'11.1.Амортиз.нови активи'!AD$60:AD$107))</f>
        <v>61.980000000000004</v>
      </c>
      <c r="J144" s="894">
        <f>$E144-SUMIF('11.2. Нови активи отч.год.'!$B$61:$B$108,$B144,'11.2. Нови активи отч.год.'!$E$61:$E$108)+SUMIF('11.2. Нови активи отч.год.'!$B$61:$B$108,$B144,'11.2. Нови активи отч.год.'!J$61:J$108)+SUMIF('11.1.Амортиз.нови активи'!$B$60:$B$107,$B144,'11.1.Амортиз.нови активи'!J$60:J$107)+('11.1.Амортиз.нови активи'!J$109*SUMIF('11.1.Амортиз.нови активи'!$B$60:$B$107,$B144,'11.1.Амортиз.нови активи'!AE$60:AE$107))</f>
        <v>70.38</v>
      </c>
      <c r="K144" s="894">
        <f>$E144-SUMIF('11.2. Нови активи отч.год.'!$B$61:$B$108,$B144,'11.2. Нови активи отч.год.'!$E$61:$E$108)+SUMIF('11.2. Нови активи отч.год.'!$B$61:$B$108,$B144,'11.2. Нови активи отч.год.'!K$61:K$108)+SUMIF('11.1.Амортиз.нови активи'!$B$60:$B$107,$B144,'11.1.Амортиз.нови активи'!K$60:K$107)+('11.1.Амортиз.нови активи'!K$109*SUMIF('11.1.Амортиз.нови активи'!$B$60:$B$107,$B144,'11.1.Амортиз.нови активи'!AF$60:AF$107))</f>
        <v>78.88</v>
      </c>
      <c r="L144" s="2246">
        <v>0</v>
      </c>
      <c r="M144" s="893">
        <f>$L144-SUMIF('11.2. Нови активи отч.год.'!$B$61:$B$108,$B144,'11.2. Нови активи отч.год.'!$L$61:$L$108)+SUMIF('11.2. Нови активи отч.год.'!$B$61:$B$108,$B144,'11.2. Нови активи отч.год.'!M$61:M$108)+SUMIF('11.1.Амортиз.нови активи'!$B$60:$B$107,$B144,'11.1.Амортиз.нови активи'!M$60:M$107)+('11.1.Амортиз.нови активи'!F$110*SUMIF('11.1.Амортиз.нови активи'!$B$60:$B$107,$B144,'11.1.Амортиз.нови активи'!AA$60:AA$107))</f>
        <v>0</v>
      </c>
      <c r="N144" s="894">
        <f>$L144-SUMIF('11.2. Нови активи отч.год.'!$B$61:$B$108,$B144,'11.2. Нови активи отч.год.'!$L$61:$L$108)+SUMIF('11.2. Нови активи отч.год.'!$B$61:$B$108,$B144,'11.2. Нови активи отч.год.'!N$61:N$108)+SUMIF('11.1.Амортиз.нови активи'!$B$60:$B$107,$B144,'11.1.Амортиз.нови активи'!N$60:N$107)+('11.1.Амортиз.нови активи'!G$110*SUMIF('11.1.Амортиз.нови активи'!$B$60:$B$107,$B144,'11.1.Амортиз.нови активи'!AB$60:AB$107))</f>
        <v>0</v>
      </c>
      <c r="O144" s="894">
        <f>$L144-SUMIF('11.2. Нови активи отч.год.'!$B$61:$B$108,$B144,'11.2. Нови активи отч.год.'!$L$61:$L$108)+SUMIF('11.2. Нови активи отч.год.'!$B$61:$B$108,$B144,'11.2. Нови активи отч.год.'!O$61:O$108)+SUMIF('11.1.Амортиз.нови активи'!$B$60:$B$107,$B144,'11.1.Амортиз.нови активи'!O$60:O$107)+('11.1.Амортиз.нови активи'!H$110*SUMIF('11.1.Амортиз.нови активи'!$B$60:$B$107,$B144,'11.1.Амортиз.нови активи'!AC$60:AC$107))</f>
        <v>0</v>
      </c>
      <c r="P144" s="894">
        <f>$L144-SUMIF('11.2. Нови активи отч.год.'!$B$61:$B$108,$B144,'11.2. Нови активи отч.год.'!$L$61:$L$108)+SUMIF('11.2. Нови активи отч.год.'!$B$61:$B$108,$B144,'11.2. Нови активи отч.год.'!P$61:P$108)+SUMIF('11.1.Амортиз.нови активи'!$B$60:$B$107,$B144,'11.1.Амортиз.нови активи'!P$60:P$107)+('11.1.Амортиз.нови активи'!I$110*SUMIF('11.1.Амортиз.нови активи'!$B$60:$B$107,$B144,'11.1.Амортиз.нови активи'!AD$60:AD$107))</f>
        <v>0</v>
      </c>
      <c r="Q144" s="894">
        <f>$L144-SUMIF('11.2. Нови активи отч.год.'!$B$61:$B$108,$B144,'11.2. Нови активи отч.год.'!$L$61:$L$108)+SUMIF('11.2. Нови активи отч.год.'!$B$61:$B$108,$B144,'11.2. Нови активи отч.год.'!Q$61:Q$108)+SUMIF('11.1.Амортиз.нови активи'!$B$60:$B$107,$B144,'11.1.Амортиз.нови активи'!Q$60:Q$107)+('11.1.Амортиз.нови активи'!J$110*SUMIF('11.1.Амортиз.нови активи'!$B$60:$B$107,$B144,'11.1.Амортиз.нови активи'!AE$60:AE$107))</f>
        <v>0</v>
      </c>
      <c r="R144" s="895">
        <f>$L144-SUMIF('11.2. Нови активи отч.год.'!$B$61:$B$108,$B144,'11.2. Нови активи отч.год.'!$L$61:$L$108)+SUMIF('11.2. Нови активи отч.год.'!$B$61:$B$108,$B144,'11.2. Нови активи отч.год.'!R$61:R$108)+SUMIF('11.1.Амортиз.нови активи'!$B$60:$B$107,$B144,'11.1.Амортиз.нови активи'!R$60:R$107)+('11.1.Амортиз.нови активи'!K$110*SUMIF('11.1.Амортиз.нови активи'!$B$60:$B$107,$B144,'11.1.Амортиз.нови активи'!AF$60:AF$107))</f>
        <v>0</v>
      </c>
      <c r="S144" s="2246">
        <v>0</v>
      </c>
      <c r="T144" s="893">
        <f>$S144-SUMIF('11.2. Нови активи отч.год.'!$B$61:$B$108,$B144,'11.2. Нови активи отч.год.'!$S$61:$S$108)+SUMIF('11.2. Нови активи отч.год.'!$B$61:$B$108,$B144,'11.2. Нови активи отч.год.'!T$61:T$108)+SUMIF('11.1.Амортиз.нови активи'!$B$60:$B$107,$B144,'11.1.Амортиз.нови активи'!T$60:T$107)+('11.1.Амортиз.нови активи'!F$111*SUMIF('11.1.Амортиз.нови активи'!$B$60:$B$107,$B144,'11.1.Амортиз.нови активи'!AA$60:AA$107))</f>
        <v>0</v>
      </c>
      <c r="U144" s="894">
        <f>$S144-SUMIF('11.2. Нови активи отч.год.'!$B$61:$B$108,$B144,'11.2. Нови активи отч.год.'!$S$61:$S$108)+SUMIF('11.2. Нови активи отч.год.'!$B$61:$B$108,$B144,'11.2. Нови активи отч.год.'!U$61:U$108)+SUMIF('11.1.Амортиз.нови активи'!$B$60:$B$107,$B144,'11.1.Амортиз.нови активи'!U$60:U$107)+('11.1.Амортиз.нови активи'!G$111*SUMIF('11.1.Амортиз.нови активи'!$B$60:$B$107,$B144,'11.1.Амортиз.нови активи'!AB$60:AB$107))</f>
        <v>0</v>
      </c>
      <c r="V144" s="894">
        <f>$S144-SUMIF('11.2. Нови активи отч.год.'!$B$61:$B$108,$B144,'11.2. Нови активи отч.год.'!$S$61:$S$108)+SUMIF('11.2. Нови активи отч.год.'!$B$61:$B$108,$B144,'11.2. Нови активи отч.год.'!V$61:V$108)+SUMIF('11.1.Амортиз.нови активи'!$B$60:$B$107,$B144,'11.1.Амортиз.нови активи'!V$60:V$107)+('11.1.Амортиз.нови активи'!H$111*SUMIF('11.1.Амортиз.нови активи'!$B$60:$B$107,$B144,'11.1.Амортиз.нови активи'!AC$60:AC$107))</f>
        <v>0</v>
      </c>
      <c r="W144" s="894">
        <f>$S144-SUMIF('11.2. Нови активи отч.год.'!$B$61:$B$108,$B144,'11.2. Нови активи отч.год.'!$S$61:$S$108)+SUMIF('11.2. Нови активи отч.год.'!$B$61:$B$108,$B144,'11.2. Нови активи отч.год.'!W$61:W$108)+SUMIF('11.1.Амортиз.нови активи'!$B$60:$B$107,$B144,'11.1.Амортиз.нови активи'!W$60:W$107)+('11.1.Амортиз.нови активи'!I$111*SUMIF('11.1.Амортиз.нови активи'!$B$60:$B$107,$B144,'11.1.Амортиз.нови активи'!AD$60:AD$107))</f>
        <v>0</v>
      </c>
      <c r="X144" s="894">
        <f>$S144-SUMIF('11.2. Нови активи отч.год.'!$B$61:$B$108,$B144,'11.2. Нови активи отч.год.'!$S$61:$S$108)+SUMIF('11.2. Нови активи отч.год.'!$B$61:$B$108,$B144,'11.2. Нови активи отч.год.'!X$61:X$108)+SUMIF('11.1.Амортиз.нови активи'!$B$60:$B$107,$B144,'11.1.Амортиз.нови активи'!X$60:X$107)+('11.1.Амортиз.нови активи'!J$111*SUMIF('11.1.Амортиз.нови активи'!$B$60:$B$107,$B144,'11.1.Амортиз.нови активи'!AE$60:AE$107))</f>
        <v>0</v>
      </c>
      <c r="Y144" s="895">
        <f>$S144-SUMIF('11.2. Нови активи отч.год.'!$B$61:$B$108,$B144,'11.2. Нови активи отч.год.'!$S$61:$S$108)+SUMIF('11.2. Нови активи отч.год.'!$B$61:$B$108,$B144,'11.2. Нови активи отч.год.'!Y$61:Y$108)+SUMIF('11.1.Амортиз.нови активи'!$B$60:$B$107,$B144,'11.1.Амортиз.нови активи'!Y$60:Y$107)+('11.1.Амортиз.нови активи'!K$111*SUMIF('11.1.Амортиз.нови активи'!$B$60:$B$107,$B144,'11.1.Амортиз.нови активи'!AF$60:AF$107))</f>
        <v>0</v>
      </c>
      <c r="Z144" s="1672"/>
      <c r="AA144" s="1703"/>
      <c r="AB144" s="1727"/>
    </row>
    <row r="145" spans="1:28" s="1643" customFormat="1">
      <c r="A145" s="1730">
        <v>15</v>
      </c>
      <c r="B145" s="1675">
        <v>2040206</v>
      </c>
      <c r="C145" s="1676">
        <v>0.02</v>
      </c>
      <c r="D145" s="1626" t="s">
        <v>593</v>
      </c>
      <c r="E145" s="2246">
        <v>0</v>
      </c>
      <c r="F145" s="893">
        <f>$E145-SUMIF('11.2. Нови активи отч.год.'!$B$61:$B$108,$B145,'11.2. Нови активи отч.год.'!$E$61:$E$108)+SUMIF('11.2. Нови активи отч.год.'!$B$61:$B$108,$B145,'11.2. Нови активи отч.год.'!F$61:F$108)+SUMIF('11.1.Амортиз.нови активи'!$B$60:$B$107,$B145,'11.1.Амортиз.нови активи'!F$60:F$107)+('11.1.Амортиз.нови активи'!F$109*SUMIF('11.1.Амортиз.нови активи'!$B$60:$B$107,$B145,'11.1.Амортиз.нови активи'!AA$60:AA$107))</f>
        <v>0</v>
      </c>
      <c r="G145" s="894">
        <f>$E145-SUMIF('11.2. Нови активи отч.год.'!$B$61:$B$108,$B145,'11.2. Нови активи отч.год.'!$E$61:$E$108)+SUMIF('11.2. Нови активи отч.год.'!$B$61:$B$108,$B145,'11.2. Нови активи отч.год.'!G$61:G$108)+SUMIF('11.1.Амортиз.нови активи'!$B$60:$B$107,$B145,'11.1.Амортиз.нови активи'!G$60:G$107)+('11.1.Амортиз.нови активи'!G$109*SUMIF('11.1.Амортиз.нови активи'!$B$60:$B$107,$B145,'11.1.Амортиз.нови активи'!AB$60:AB$107))</f>
        <v>0</v>
      </c>
      <c r="H145" s="894">
        <f>$E145-SUMIF('11.2. Нови активи отч.год.'!$B$61:$B$108,$B145,'11.2. Нови активи отч.год.'!$E$61:$E$108)+SUMIF('11.2. Нови активи отч.год.'!$B$61:$B$108,$B145,'11.2. Нови активи отч.год.'!H$61:H$108)+SUMIF('11.1.Амортиз.нови активи'!$B$60:$B$107,$B145,'11.1.Амортиз.нови активи'!H$60:H$107)+('11.1.Амортиз.нови активи'!H$109*SUMIF('11.1.Амортиз.нови активи'!$B$60:$B$107,$B145,'11.1.Амортиз.нови активи'!AC$60:AC$107))</f>
        <v>0</v>
      </c>
      <c r="I145" s="894">
        <f>$E145-SUMIF('11.2. Нови активи отч.год.'!$B$61:$B$108,$B145,'11.2. Нови активи отч.год.'!$E$61:$E$108)+SUMIF('11.2. Нови активи отч.год.'!$B$61:$B$108,$B145,'11.2. Нови активи отч.год.'!I$61:I$108)+SUMIF('11.1.Амортиз.нови активи'!$B$60:$B$107,$B145,'11.1.Амортиз.нови активи'!I$60:I$107)+('11.1.Амортиз.нови активи'!I$109*SUMIF('11.1.Амортиз.нови активи'!$B$60:$B$107,$B145,'11.1.Амортиз.нови активи'!AD$60:AD$107))</f>
        <v>0</v>
      </c>
      <c r="J145" s="894">
        <f>$E145-SUMIF('11.2. Нови активи отч.год.'!$B$61:$B$108,$B145,'11.2. Нови активи отч.год.'!$E$61:$E$108)+SUMIF('11.2. Нови активи отч.год.'!$B$61:$B$108,$B145,'11.2. Нови активи отч.год.'!J$61:J$108)+SUMIF('11.1.Амортиз.нови активи'!$B$60:$B$107,$B145,'11.1.Амортиз.нови активи'!J$60:J$107)+('11.1.Амортиз.нови активи'!J$109*SUMIF('11.1.Амортиз.нови активи'!$B$60:$B$107,$B145,'11.1.Амортиз.нови активи'!AE$60:AE$107))</f>
        <v>0</v>
      </c>
      <c r="K145" s="894">
        <f>$E145-SUMIF('11.2. Нови активи отч.год.'!$B$61:$B$108,$B145,'11.2. Нови активи отч.год.'!$E$61:$E$108)+SUMIF('11.2. Нови активи отч.год.'!$B$61:$B$108,$B145,'11.2. Нови активи отч.год.'!K$61:K$108)+SUMIF('11.1.Амортиз.нови активи'!$B$60:$B$107,$B145,'11.1.Амортиз.нови активи'!K$60:K$107)+('11.1.Амортиз.нови активи'!K$109*SUMIF('11.1.Амортиз.нови активи'!$B$60:$B$107,$B145,'11.1.Амортиз.нови активи'!AF$60:AF$107))</f>
        <v>0</v>
      </c>
      <c r="L145" s="2246">
        <v>0</v>
      </c>
      <c r="M145" s="893">
        <f>$L145-SUMIF('11.2. Нови активи отч.год.'!$B$61:$B$108,$B145,'11.2. Нови активи отч.год.'!$L$61:$L$108)+SUMIF('11.2. Нови активи отч.год.'!$B$61:$B$108,$B145,'11.2. Нови активи отч.год.'!M$61:M$108)+SUMIF('11.1.Амортиз.нови активи'!$B$60:$B$107,$B145,'11.1.Амортиз.нови активи'!M$60:M$107)+('11.1.Амортиз.нови активи'!F$110*SUMIF('11.1.Амортиз.нови активи'!$B$60:$B$107,$B145,'11.1.Амортиз.нови активи'!AA$60:AA$107))</f>
        <v>0.63</v>
      </c>
      <c r="N145" s="894">
        <f>$L145-SUMIF('11.2. Нови активи отч.год.'!$B$61:$B$108,$B145,'11.2. Нови активи отч.год.'!$L$61:$L$108)+SUMIF('11.2. Нови активи отч.год.'!$B$61:$B$108,$B145,'11.2. Нови активи отч.год.'!N$61:N$108)+SUMIF('11.1.Амортиз.нови активи'!$B$60:$B$107,$B145,'11.1.Амортиз.нови активи'!N$60:N$107)+('11.1.Амортиз.нови активи'!G$110*SUMIF('11.1.Амортиз.нови активи'!$B$60:$B$107,$B145,'11.1.Амортиз.нови активи'!AB$60:AB$107))</f>
        <v>1.61</v>
      </c>
      <c r="O145" s="894">
        <f>$L145-SUMIF('11.2. Нови активи отч.год.'!$B$61:$B$108,$B145,'11.2. Нови активи отч.год.'!$L$61:$L$108)+SUMIF('11.2. Нови активи отч.год.'!$B$61:$B$108,$B145,'11.2. Нови активи отч.год.'!O$61:O$108)+SUMIF('11.1.Амортиз.нови активи'!$B$60:$B$107,$B145,'11.1.Амортиз.нови активи'!O$60:O$107)+('11.1.Амортиз.нови активи'!H$110*SUMIF('11.1.Амортиз.нови активи'!$B$60:$B$107,$B145,'11.1.Амортиз.нови активи'!AC$60:AC$107))</f>
        <v>2.42</v>
      </c>
      <c r="P145" s="894">
        <f>$L145-SUMIF('11.2. Нови активи отч.год.'!$B$61:$B$108,$B145,'11.2. Нови активи отч.год.'!$L$61:$L$108)+SUMIF('11.2. Нови активи отч.год.'!$B$61:$B$108,$B145,'11.2. Нови активи отч.год.'!P$61:P$108)+SUMIF('11.1.Амортиз.нови активи'!$B$60:$B$107,$B145,'11.1.Амортиз.нови активи'!P$60:P$107)+('11.1.Амортиз.нови активи'!I$110*SUMIF('11.1.Амортиз.нови активи'!$B$60:$B$107,$B145,'11.1.Амортиз.нови активи'!AD$60:AD$107))</f>
        <v>3.5199999999999996</v>
      </c>
      <c r="Q145" s="894">
        <f>$L145-SUMIF('11.2. Нови активи отч.год.'!$B$61:$B$108,$B145,'11.2. Нови активи отч.год.'!$L$61:$L$108)+SUMIF('11.2. Нови активи отч.год.'!$B$61:$B$108,$B145,'11.2. Нови активи отч.год.'!Q$61:Q$108)+SUMIF('11.1.Амортиз.нови активи'!$B$60:$B$107,$B145,'11.1.Амортиз.нови активи'!Q$60:Q$107)+('11.1.Амортиз.нови активи'!J$110*SUMIF('11.1.Амортиз.нови активи'!$B$60:$B$107,$B145,'11.1.Амортиз.нови активи'!AE$60:AE$107))</f>
        <v>4.8500000000000005</v>
      </c>
      <c r="R145" s="895">
        <f>$L145-SUMIF('11.2. Нови активи отч.год.'!$B$61:$B$108,$B145,'11.2. Нови активи отч.год.'!$L$61:$L$108)+SUMIF('11.2. Нови активи отч.год.'!$B$61:$B$108,$B145,'11.2. Нови активи отч.год.'!R$61:R$108)+SUMIF('11.1.Амортиз.нови активи'!$B$60:$B$107,$B145,'11.1.Амортиз.нови активи'!R$60:R$107)+('11.1.Амортиз.нови активи'!K$110*SUMIF('11.1.Амортиз.нови активи'!$B$60:$B$107,$B145,'11.1.Амортиз.нови активи'!AF$60:AF$107))</f>
        <v>5.89</v>
      </c>
      <c r="S145" s="2246">
        <v>0</v>
      </c>
      <c r="T145" s="893">
        <f>$S145-SUMIF('11.2. Нови активи отч.год.'!$B$61:$B$108,$B145,'11.2. Нови активи отч.год.'!$S$61:$S$108)+SUMIF('11.2. Нови активи отч.год.'!$B$61:$B$108,$B145,'11.2. Нови активи отч.год.'!T$61:T$108)+SUMIF('11.1.Амортиз.нови активи'!$B$60:$B$107,$B145,'11.1.Амортиз.нови активи'!T$60:T$107)+('11.1.Амортиз.нови активи'!F$111*SUMIF('11.1.Амортиз.нови активи'!$B$60:$B$107,$B145,'11.1.Амортиз.нови активи'!AA$60:AA$107))</f>
        <v>0</v>
      </c>
      <c r="U145" s="894">
        <f>$S145-SUMIF('11.2. Нови активи отч.год.'!$B$61:$B$108,$B145,'11.2. Нови активи отч.год.'!$S$61:$S$108)+SUMIF('11.2. Нови активи отч.год.'!$B$61:$B$108,$B145,'11.2. Нови активи отч.год.'!U$61:U$108)+SUMIF('11.1.Амортиз.нови активи'!$B$60:$B$107,$B145,'11.1.Амортиз.нови активи'!U$60:U$107)+('11.1.Амортиз.нови активи'!G$111*SUMIF('11.1.Амортиз.нови активи'!$B$60:$B$107,$B145,'11.1.Амортиз.нови активи'!AB$60:AB$107))</f>
        <v>0</v>
      </c>
      <c r="V145" s="894">
        <f>$S145-SUMIF('11.2. Нови активи отч.год.'!$B$61:$B$108,$B145,'11.2. Нови активи отч.год.'!$S$61:$S$108)+SUMIF('11.2. Нови активи отч.год.'!$B$61:$B$108,$B145,'11.2. Нови активи отч.год.'!V$61:V$108)+SUMIF('11.1.Амортиз.нови активи'!$B$60:$B$107,$B145,'11.1.Амортиз.нови активи'!V$60:V$107)+('11.1.Амортиз.нови активи'!H$111*SUMIF('11.1.Амортиз.нови активи'!$B$60:$B$107,$B145,'11.1.Амортиз.нови активи'!AC$60:AC$107))</f>
        <v>0</v>
      </c>
      <c r="W145" s="894">
        <f>$S145-SUMIF('11.2. Нови активи отч.год.'!$B$61:$B$108,$B145,'11.2. Нови активи отч.год.'!$S$61:$S$108)+SUMIF('11.2. Нови активи отч.год.'!$B$61:$B$108,$B145,'11.2. Нови активи отч.год.'!W$61:W$108)+SUMIF('11.1.Амортиз.нови активи'!$B$60:$B$107,$B145,'11.1.Амортиз.нови активи'!W$60:W$107)+('11.1.Амортиз.нови активи'!I$111*SUMIF('11.1.Амортиз.нови активи'!$B$60:$B$107,$B145,'11.1.Амортиз.нови активи'!AD$60:AD$107))</f>
        <v>0</v>
      </c>
      <c r="X145" s="894">
        <f>$S145-SUMIF('11.2. Нови активи отч.год.'!$B$61:$B$108,$B145,'11.2. Нови активи отч.год.'!$S$61:$S$108)+SUMIF('11.2. Нови активи отч.год.'!$B$61:$B$108,$B145,'11.2. Нови активи отч.год.'!X$61:X$108)+SUMIF('11.1.Амортиз.нови активи'!$B$60:$B$107,$B145,'11.1.Амортиз.нови активи'!X$60:X$107)+('11.1.Амортиз.нови активи'!J$111*SUMIF('11.1.Амортиз.нови активи'!$B$60:$B$107,$B145,'11.1.Амортиз.нови активи'!AE$60:AE$107))</f>
        <v>0</v>
      </c>
      <c r="Y145" s="895">
        <f>$S145-SUMIF('11.2. Нови активи отч.год.'!$B$61:$B$108,$B145,'11.2. Нови активи отч.год.'!$S$61:$S$108)+SUMIF('11.2. Нови активи отч.год.'!$B$61:$B$108,$B145,'11.2. Нови активи отч.год.'!Y$61:Y$108)+SUMIF('11.1.Амортиз.нови активи'!$B$60:$B$107,$B145,'11.1.Амортиз.нови активи'!Y$60:Y$107)+('11.1.Амортиз.нови активи'!K$111*SUMIF('11.1.Амортиз.нови активи'!$B$60:$B$107,$B145,'11.1.Амортиз.нови активи'!AF$60:AF$107))</f>
        <v>0</v>
      </c>
      <c r="Z145" s="1672"/>
      <c r="AA145" s="1703"/>
      <c r="AB145" s="1727"/>
    </row>
    <row r="146" spans="1:28" s="1643" customFormat="1" ht="24">
      <c r="A146" s="1730">
        <v>16</v>
      </c>
      <c r="B146" s="1675">
        <v>2040207</v>
      </c>
      <c r="C146" s="1676">
        <v>0.04</v>
      </c>
      <c r="D146" s="1626" t="s">
        <v>594</v>
      </c>
      <c r="E146" s="2246">
        <v>0</v>
      </c>
      <c r="F146" s="893">
        <f>$E146-SUMIF('11.2. Нови активи отч.год.'!$B$61:$B$108,$B146,'11.2. Нови активи отч.год.'!$E$61:$E$108)+SUMIF('11.2. Нови активи отч.год.'!$B$61:$B$108,$B146,'11.2. Нови активи отч.год.'!F$61:F$108)+SUMIF('11.1.Амортиз.нови активи'!$B$60:$B$107,$B146,'11.1.Амортиз.нови активи'!F$60:F$107)+('11.1.Амортиз.нови активи'!F$109*SUMIF('11.1.Амортиз.нови активи'!$B$60:$B$107,$B146,'11.1.Амортиз.нови активи'!AA$60:AA$107))</f>
        <v>5.54</v>
      </c>
      <c r="G146" s="894">
        <f>$E146-SUMIF('11.2. Нови активи отч.год.'!$B$61:$B$108,$B146,'11.2. Нови активи отч.год.'!$E$61:$E$108)+SUMIF('11.2. Нови активи отч.год.'!$B$61:$B$108,$B146,'11.2. Нови активи отч.год.'!G$61:G$108)+SUMIF('11.1.Амортиз.нови активи'!$B$60:$B$107,$B146,'11.1.Амортиз.нови активи'!G$60:G$107)+('11.1.Амортиз.нови активи'!G$109*SUMIF('11.1.Амортиз.нови активи'!$B$60:$B$107,$B146,'11.1.Амортиз.нови активи'!AB$60:AB$107))</f>
        <v>13.08</v>
      </c>
      <c r="H146" s="894">
        <f>$E146-SUMIF('11.2. Нови активи отч.год.'!$B$61:$B$108,$B146,'11.2. Нови активи отч.год.'!$E$61:$E$108)+SUMIF('11.2. Нови активи отч.год.'!$B$61:$B$108,$B146,'11.2. Нови активи отч.год.'!H$61:H$108)+SUMIF('11.1.Амортиз.нови активи'!$B$60:$B$107,$B146,'11.1.Амортиз.нови активи'!H$60:H$107)+('11.1.Амортиз.нови активи'!H$109*SUMIF('11.1.Амортиз.нови активи'!$B$60:$B$107,$B146,'11.1.Амортиз.нови активи'!AC$60:AC$107))</f>
        <v>16.98</v>
      </c>
      <c r="I146" s="894">
        <f>$E146-SUMIF('11.2. Нови активи отч.год.'!$B$61:$B$108,$B146,'11.2. Нови активи отч.год.'!$E$61:$E$108)+SUMIF('11.2. Нови активи отч.год.'!$B$61:$B$108,$B146,'11.2. Нови активи отч.год.'!I$61:I$108)+SUMIF('11.1.Амортиз.нови активи'!$B$60:$B$107,$B146,'11.1.Амортиз.нови активи'!I$60:I$107)+('11.1.Амортиз.нови активи'!I$109*SUMIF('11.1.Амортиз.нови активи'!$B$60:$B$107,$B146,'11.1.Амортиз.нови активи'!AD$60:AD$107))</f>
        <v>20.88</v>
      </c>
      <c r="J146" s="894">
        <f>$E146-SUMIF('11.2. Нови активи отч.год.'!$B$61:$B$108,$B146,'11.2. Нови активи отч.год.'!$E$61:$E$108)+SUMIF('11.2. Нови активи отч.год.'!$B$61:$B$108,$B146,'11.2. Нови активи отч.год.'!J$61:J$108)+SUMIF('11.1.Амортиз.нови активи'!$B$60:$B$107,$B146,'11.1.Амортиз.нови активи'!J$60:J$107)+('11.1.Амортиз.нови активи'!J$109*SUMIF('11.1.Амортиз.нови активи'!$B$60:$B$107,$B146,'11.1.Амортиз.нови активи'!AE$60:AE$107))</f>
        <v>24.68</v>
      </c>
      <c r="K146" s="894">
        <f>$E146-SUMIF('11.2. Нови активи отч.год.'!$B$61:$B$108,$B146,'11.2. Нови активи отч.год.'!$E$61:$E$108)+SUMIF('11.2. Нови активи отч.год.'!$B$61:$B$108,$B146,'11.2. Нови активи отч.год.'!K$61:K$108)+SUMIF('11.1.Амортиз.нови активи'!$B$60:$B$107,$B146,'11.1.Амортиз.нови активи'!K$60:K$107)+('11.1.Амортиз.нови активи'!K$109*SUMIF('11.1.Амортиз.нови активи'!$B$60:$B$107,$B146,'11.1.Амортиз.нови активи'!AF$60:AF$107))</f>
        <v>28.18</v>
      </c>
      <c r="L146" s="2246">
        <v>0</v>
      </c>
      <c r="M146" s="893">
        <f>$L146-SUMIF('11.2. Нови активи отч.год.'!$B$61:$B$108,$B146,'11.2. Нови активи отч.год.'!$L$61:$L$108)+SUMIF('11.2. Нови активи отч.год.'!$B$61:$B$108,$B146,'11.2. Нови активи отч.год.'!M$61:M$108)+SUMIF('11.1.Амортиз.нови активи'!$B$60:$B$107,$B146,'11.1.Амортиз.нови активи'!M$60:M$107)+('11.1.Амортиз.нови активи'!F$110*SUMIF('11.1.Амортиз.нови активи'!$B$60:$B$107,$B146,'11.1.Амортиз.нови активи'!AA$60:AA$107))</f>
        <v>0</v>
      </c>
      <c r="N146" s="894">
        <f>$L146-SUMIF('11.2. Нови активи отч.год.'!$B$61:$B$108,$B146,'11.2. Нови активи отч.год.'!$L$61:$L$108)+SUMIF('11.2. Нови активи отч.год.'!$B$61:$B$108,$B146,'11.2. Нови активи отч.год.'!N$61:N$108)+SUMIF('11.1.Амортиз.нови активи'!$B$60:$B$107,$B146,'11.1.Амортиз.нови активи'!N$60:N$107)+('11.1.Амортиз.нови активи'!G$110*SUMIF('11.1.Амортиз.нови активи'!$B$60:$B$107,$B146,'11.1.Амортиз.нови активи'!AB$60:AB$107))</f>
        <v>0</v>
      </c>
      <c r="O146" s="894">
        <f>$L146-SUMIF('11.2. Нови активи отч.год.'!$B$61:$B$108,$B146,'11.2. Нови активи отч.год.'!$L$61:$L$108)+SUMIF('11.2. Нови активи отч.год.'!$B$61:$B$108,$B146,'11.2. Нови активи отч.год.'!O$61:O$108)+SUMIF('11.1.Амортиз.нови активи'!$B$60:$B$107,$B146,'11.1.Амортиз.нови активи'!O$60:O$107)+('11.1.Амортиз.нови активи'!H$110*SUMIF('11.1.Амортиз.нови активи'!$B$60:$B$107,$B146,'11.1.Амортиз.нови активи'!AC$60:AC$107))</f>
        <v>0</v>
      </c>
      <c r="P146" s="894">
        <f>$L146-SUMIF('11.2. Нови активи отч.год.'!$B$61:$B$108,$B146,'11.2. Нови активи отч.год.'!$L$61:$L$108)+SUMIF('11.2. Нови активи отч.год.'!$B$61:$B$108,$B146,'11.2. Нови активи отч.год.'!P$61:P$108)+SUMIF('11.1.Амортиз.нови активи'!$B$60:$B$107,$B146,'11.1.Амортиз.нови активи'!P$60:P$107)+('11.1.Амортиз.нови активи'!I$110*SUMIF('11.1.Амортиз.нови активи'!$B$60:$B$107,$B146,'11.1.Амортиз.нови активи'!AD$60:AD$107))</f>
        <v>0</v>
      </c>
      <c r="Q146" s="894">
        <f>$L146-SUMIF('11.2. Нови активи отч.год.'!$B$61:$B$108,$B146,'11.2. Нови активи отч.год.'!$L$61:$L$108)+SUMIF('11.2. Нови активи отч.год.'!$B$61:$B$108,$B146,'11.2. Нови активи отч.год.'!Q$61:Q$108)+SUMIF('11.1.Амортиз.нови активи'!$B$60:$B$107,$B146,'11.1.Амортиз.нови активи'!Q$60:Q$107)+('11.1.Амортиз.нови активи'!J$110*SUMIF('11.1.Амортиз.нови активи'!$B$60:$B$107,$B146,'11.1.Амортиз.нови активи'!AE$60:AE$107))</f>
        <v>0</v>
      </c>
      <c r="R146" s="895">
        <f>$L146-SUMIF('11.2. Нови активи отч.год.'!$B$61:$B$108,$B146,'11.2. Нови активи отч.год.'!$L$61:$L$108)+SUMIF('11.2. Нови активи отч.год.'!$B$61:$B$108,$B146,'11.2. Нови активи отч.год.'!R$61:R$108)+SUMIF('11.1.Амортиз.нови активи'!$B$60:$B$107,$B146,'11.1.Амортиз.нови активи'!R$60:R$107)+('11.1.Амортиз.нови активи'!K$110*SUMIF('11.1.Амортиз.нови активи'!$B$60:$B$107,$B146,'11.1.Амортиз.нови активи'!AF$60:AF$107))</f>
        <v>0</v>
      </c>
      <c r="S146" s="2246">
        <v>0</v>
      </c>
      <c r="T146" s="893">
        <f>$S146-SUMIF('11.2. Нови активи отч.год.'!$B$61:$B$108,$B146,'11.2. Нови активи отч.год.'!$S$61:$S$108)+SUMIF('11.2. Нови активи отч.год.'!$B$61:$B$108,$B146,'11.2. Нови активи отч.год.'!T$61:T$108)+SUMIF('11.1.Амортиз.нови активи'!$B$60:$B$107,$B146,'11.1.Амортиз.нови активи'!T$60:T$107)+('11.1.Амортиз.нови активи'!F$111*SUMIF('11.1.Амортиз.нови активи'!$B$60:$B$107,$B146,'11.1.Амортиз.нови активи'!AA$60:AA$107))</f>
        <v>0</v>
      </c>
      <c r="U146" s="894">
        <f>$S146-SUMIF('11.2. Нови активи отч.год.'!$B$61:$B$108,$B146,'11.2. Нови активи отч.год.'!$S$61:$S$108)+SUMIF('11.2. Нови активи отч.год.'!$B$61:$B$108,$B146,'11.2. Нови активи отч.год.'!U$61:U$108)+SUMIF('11.1.Амортиз.нови активи'!$B$60:$B$107,$B146,'11.1.Амортиз.нови активи'!U$60:U$107)+('11.1.Амортиз.нови активи'!G$111*SUMIF('11.1.Амортиз.нови активи'!$B$60:$B$107,$B146,'11.1.Амортиз.нови активи'!AB$60:AB$107))</f>
        <v>0.78</v>
      </c>
      <c r="V146" s="894">
        <f>$S146-SUMIF('11.2. Нови активи отч.год.'!$B$61:$B$108,$B146,'11.2. Нови активи отч.год.'!$S$61:$S$108)+SUMIF('11.2. Нови активи отч.год.'!$B$61:$B$108,$B146,'11.2. Нови активи отч.год.'!V$61:V$108)+SUMIF('11.1.Амортиз.нови активи'!$B$60:$B$107,$B146,'11.1.Амортиз.нови активи'!V$60:V$107)+('11.1.Амортиз.нови активи'!H$111*SUMIF('11.1.Амортиз.нови активи'!$B$60:$B$107,$B146,'11.1.Амортиз.нови активи'!AC$60:AC$107))</f>
        <v>2.2400000000000002</v>
      </c>
      <c r="W146" s="894">
        <f>$S146-SUMIF('11.2. Нови активи отч.год.'!$B$61:$B$108,$B146,'11.2. Нови активи отч.год.'!$S$61:$S$108)+SUMIF('11.2. Нови активи отч.год.'!$B$61:$B$108,$B146,'11.2. Нови активи отч.год.'!W$61:W$108)+SUMIF('11.1.Амортиз.нови активи'!$B$60:$B$107,$B146,'11.1.Амортиз.нови активи'!W$60:W$107)+('11.1.Амортиз.нови активи'!I$111*SUMIF('11.1.Амортиз.нови активи'!$B$60:$B$107,$B146,'11.1.Амортиз.нови активи'!AD$60:AD$107))</f>
        <v>3.84</v>
      </c>
      <c r="X146" s="894">
        <f>$S146-SUMIF('11.2. Нови активи отч.год.'!$B$61:$B$108,$B146,'11.2. Нови активи отч.год.'!$S$61:$S$108)+SUMIF('11.2. Нови активи отч.год.'!$B$61:$B$108,$B146,'11.2. Нови активи отч.год.'!X$61:X$108)+SUMIF('11.1.Амортиз.нови активи'!$B$60:$B$107,$B146,'11.1.Амортиз.нови активи'!X$60:X$107)+('11.1.Амортиз.нови активи'!J$111*SUMIF('11.1.Амортиз.нови активи'!$B$60:$B$107,$B146,'11.1.Амортиз.нови активи'!AE$60:AE$107))</f>
        <v>5.38</v>
      </c>
      <c r="Y146" s="895">
        <f>$S146-SUMIF('11.2. Нови активи отч.год.'!$B$61:$B$108,$B146,'11.2. Нови активи отч.год.'!$S$61:$S$108)+SUMIF('11.2. Нови активи отч.год.'!$B$61:$B$108,$B146,'11.2. Нови активи отч.год.'!Y$61:Y$108)+SUMIF('11.1.Амортиз.нови активи'!$B$60:$B$107,$B146,'11.1.Амортиз.нови активи'!Y$60:Y$107)+('11.1.Амортиз.нови активи'!K$111*SUMIF('11.1.Амортиз.нови активи'!$B$60:$B$107,$B146,'11.1.Амортиз.нови активи'!AF$60:AF$107))</f>
        <v>6.82</v>
      </c>
      <c r="Z146" s="1672"/>
      <c r="AA146" s="1703"/>
      <c r="AB146" s="1727"/>
    </row>
    <row r="147" spans="1:28" s="1643" customFormat="1">
      <c r="A147" s="1730">
        <v>17</v>
      </c>
      <c r="B147" s="1675">
        <v>2040208</v>
      </c>
      <c r="C147" s="1676">
        <v>0.04</v>
      </c>
      <c r="D147" s="1626" t="s">
        <v>595</v>
      </c>
      <c r="E147" s="2246">
        <v>0</v>
      </c>
      <c r="F147" s="893">
        <f>$E147-SUMIF('11.2. Нови активи отч.год.'!$B$61:$B$108,$B147,'11.2. Нови активи отч.год.'!$E$61:$E$108)+SUMIF('11.2. Нови активи отч.год.'!$B$61:$B$108,$B147,'11.2. Нови активи отч.год.'!F$61:F$108)+SUMIF('11.1.Амортиз.нови активи'!$B$60:$B$107,$B147,'11.1.Амортиз.нови активи'!F$60:F$107)+('11.1.Амортиз.нови активи'!F$109*SUMIF('11.1.Амортиз.нови активи'!$B$60:$B$107,$B147,'11.1.Амортиз.нови активи'!AA$60:AA$107))</f>
        <v>0.64</v>
      </c>
      <c r="G147" s="894">
        <f>$E147-SUMIF('11.2. Нови активи отч.год.'!$B$61:$B$108,$B147,'11.2. Нови активи отч.год.'!$E$61:$E$108)+SUMIF('11.2. Нови активи отч.год.'!$B$61:$B$108,$B147,'11.2. Нови активи отч.год.'!G$61:G$108)+SUMIF('11.1.Амортиз.нови активи'!$B$60:$B$107,$B147,'11.1.Амортиз.нови активи'!G$60:G$107)+('11.1.Амортиз.нови активи'!G$109*SUMIF('11.1.Амортиз.нови активи'!$B$60:$B$107,$B147,'11.1.Амортиз.нови активи'!AB$60:AB$107))</f>
        <v>0.64</v>
      </c>
      <c r="H147" s="894">
        <f>$E147-SUMIF('11.2. Нови активи отч.год.'!$B$61:$B$108,$B147,'11.2. Нови активи отч.год.'!$E$61:$E$108)+SUMIF('11.2. Нови активи отч.год.'!$B$61:$B$108,$B147,'11.2. Нови активи отч.год.'!H$61:H$108)+SUMIF('11.1.Амортиз.нови активи'!$B$60:$B$107,$B147,'11.1.Амортиз.нови активи'!H$60:H$107)+('11.1.Амортиз.нови активи'!H$109*SUMIF('11.1.Амортиз.нови активи'!$B$60:$B$107,$B147,'11.1.Амортиз.нови активи'!AC$60:AC$107))</f>
        <v>0.64</v>
      </c>
      <c r="I147" s="894">
        <f>$E147-SUMIF('11.2. Нови активи отч.год.'!$B$61:$B$108,$B147,'11.2. Нови активи отч.год.'!$E$61:$E$108)+SUMIF('11.2. Нови активи отч.год.'!$B$61:$B$108,$B147,'11.2. Нови активи отч.год.'!I$61:I$108)+SUMIF('11.1.Амортиз.нови активи'!$B$60:$B$107,$B147,'11.1.Амортиз.нови активи'!I$60:I$107)+('11.1.Амортиз.нови активи'!I$109*SUMIF('11.1.Амортиз.нови активи'!$B$60:$B$107,$B147,'11.1.Амортиз.нови активи'!AD$60:AD$107))</f>
        <v>0.64</v>
      </c>
      <c r="J147" s="894">
        <f>$E147-SUMIF('11.2. Нови активи отч.год.'!$B$61:$B$108,$B147,'11.2. Нови активи отч.год.'!$E$61:$E$108)+SUMIF('11.2. Нови активи отч.год.'!$B$61:$B$108,$B147,'11.2. Нови активи отч.год.'!J$61:J$108)+SUMIF('11.1.Амортиз.нови активи'!$B$60:$B$107,$B147,'11.1.Амортиз.нови активи'!J$60:J$107)+('11.1.Амортиз.нови активи'!J$109*SUMIF('11.1.Амортиз.нови активи'!$B$60:$B$107,$B147,'11.1.Амортиз.нови активи'!AE$60:AE$107))</f>
        <v>0.64</v>
      </c>
      <c r="K147" s="894">
        <f>$E147-SUMIF('11.2. Нови активи отч.год.'!$B$61:$B$108,$B147,'11.2. Нови активи отч.год.'!$E$61:$E$108)+SUMIF('11.2. Нови активи отч.год.'!$B$61:$B$108,$B147,'11.2. Нови активи отч.год.'!K$61:K$108)+SUMIF('11.1.Амортиз.нови активи'!$B$60:$B$107,$B147,'11.1.Амортиз.нови активи'!K$60:K$107)+('11.1.Амортиз.нови активи'!K$109*SUMIF('11.1.Амортиз.нови активи'!$B$60:$B$107,$B147,'11.1.Амортиз.нови активи'!AF$60:AF$107))</f>
        <v>0.64</v>
      </c>
      <c r="L147" s="2246">
        <v>0</v>
      </c>
      <c r="M147" s="893">
        <f>$L147-SUMIF('11.2. Нови активи отч.год.'!$B$61:$B$108,$B147,'11.2. Нови активи отч.год.'!$L$61:$L$108)+SUMIF('11.2. Нови активи отч.год.'!$B$61:$B$108,$B147,'11.2. Нови активи отч.год.'!M$61:M$108)+SUMIF('11.1.Амортиз.нови активи'!$B$60:$B$107,$B147,'11.1.Амортиз.нови активи'!M$60:M$107)+('11.1.Амортиз.нови активи'!F$110*SUMIF('11.1.Амортиз.нови активи'!$B$60:$B$107,$B147,'11.1.Амортиз.нови активи'!AA$60:AA$107))</f>
        <v>0</v>
      </c>
      <c r="N147" s="894">
        <f>$L147-SUMIF('11.2. Нови активи отч.год.'!$B$61:$B$108,$B147,'11.2. Нови активи отч.год.'!$L$61:$L$108)+SUMIF('11.2. Нови активи отч.год.'!$B$61:$B$108,$B147,'11.2. Нови активи отч.год.'!N$61:N$108)+SUMIF('11.1.Амортиз.нови активи'!$B$60:$B$107,$B147,'11.1.Амортиз.нови активи'!N$60:N$107)+('11.1.Амортиз.нови активи'!G$110*SUMIF('11.1.Амортиз.нови активи'!$B$60:$B$107,$B147,'11.1.Амортиз.нови активи'!AB$60:AB$107))</f>
        <v>0</v>
      </c>
      <c r="O147" s="894">
        <f>$L147-SUMIF('11.2. Нови активи отч.год.'!$B$61:$B$108,$B147,'11.2. Нови активи отч.год.'!$L$61:$L$108)+SUMIF('11.2. Нови активи отч.год.'!$B$61:$B$108,$B147,'11.2. Нови активи отч.год.'!O$61:O$108)+SUMIF('11.1.Амортиз.нови активи'!$B$60:$B$107,$B147,'11.1.Амортиз.нови активи'!O$60:O$107)+('11.1.Амортиз.нови активи'!H$110*SUMIF('11.1.Амортиз.нови активи'!$B$60:$B$107,$B147,'11.1.Амортиз.нови активи'!AC$60:AC$107))</f>
        <v>0</v>
      </c>
      <c r="P147" s="894">
        <f>$L147-SUMIF('11.2. Нови активи отч.год.'!$B$61:$B$108,$B147,'11.2. Нови активи отч.год.'!$L$61:$L$108)+SUMIF('11.2. Нови активи отч.год.'!$B$61:$B$108,$B147,'11.2. Нови активи отч.год.'!P$61:P$108)+SUMIF('11.1.Амортиз.нови активи'!$B$60:$B$107,$B147,'11.1.Амортиз.нови активи'!P$60:P$107)+('11.1.Амортиз.нови активи'!I$110*SUMIF('11.1.Амортиз.нови активи'!$B$60:$B$107,$B147,'11.1.Амортиз.нови активи'!AD$60:AD$107))</f>
        <v>0</v>
      </c>
      <c r="Q147" s="894">
        <f>$L147-SUMIF('11.2. Нови активи отч.год.'!$B$61:$B$108,$B147,'11.2. Нови активи отч.год.'!$L$61:$L$108)+SUMIF('11.2. Нови активи отч.год.'!$B$61:$B$108,$B147,'11.2. Нови активи отч.год.'!Q$61:Q$108)+SUMIF('11.1.Амортиз.нови активи'!$B$60:$B$107,$B147,'11.1.Амортиз.нови активи'!Q$60:Q$107)+('11.1.Амортиз.нови активи'!J$110*SUMIF('11.1.Амортиз.нови активи'!$B$60:$B$107,$B147,'11.1.Амортиз.нови активи'!AE$60:AE$107))</f>
        <v>0</v>
      </c>
      <c r="R147" s="895">
        <f>$L147-SUMIF('11.2. Нови активи отч.год.'!$B$61:$B$108,$B147,'11.2. Нови активи отч.год.'!$L$61:$L$108)+SUMIF('11.2. Нови активи отч.год.'!$B$61:$B$108,$B147,'11.2. Нови активи отч.год.'!R$61:R$108)+SUMIF('11.1.Амортиз.нови активи'!$B$60:$B$107,$B147,'11.1.Амортиз.нови активи'!R$60:R$107)+('11.1.Амортиз.нови активи'!K$110*SUMIF('11.1.Амортиз.нови активи'!$B$60:$B$107,$B147,'11.1.Амортиз.нови активи'!AF$60:AF$107))</f>
        <v>0</v>
      </c>
      <c r="S147" s="2246">
        <v>0</v>
      </c>
      <c r="T147" s="893">
        <f>$S147-SUMIF('11.2. Нови активи отч.год.'!$B$61:$B$108,$B147,'11.2. Нови активи отч.год.'!$S$61:$S$108)+SUMIF('11.2. Нови активи отч.год.'!$B$61:$B$108,$B147,'11.2. Нови активи отч.год.'!T$61:T$108)+SUMIF('11.1.Амортиз.нови активи'!$B$60:$B$107,$B147,'11.1.Амортиз.нови активи'!T$60:T$107)+('11.1.Амортиз.нови активи'!F$111*SUMIF('11.1.Амортиз.нови активи'!$B$60:$B$107,$B147,'11.1.Амортиз.нови активи'!AA$60:AA$107))</f>
        <v>0</v>
      </c>
      <c r="U147" s="894">
        <f>$S147-SUMIF('11.2. Нови активи отч.год.'!$B$61:$B$108,$B147,'11.2. Нови активи отч.год.'!$S$61:$S$108)+SUMIF('11.2. Нови активи отч.год.'!$B$61:$B$108,$B147,'11.2. Нови активи отч.год.'!U$61:U$108)+SUMIF('11.1.Амортиз.нови активи'!$B$60:$B$107,$B147,'11.1.Амортиз.нови активи'!U$60:U$107)+('11.1.Амортиз.нови активи'!G$111*SUMIF('11.1.Амортиз.нови активи'!$B$60:$B$107,$B147,'11.1.Амортиз.нови активи'!AB$60:AB$107))</f>
        <v>0</v>
      </c>
      <c r="V147" s="894">
        <f>$S147-SUMIF('11.2. Нови активи отч.год.'!$B$61:$B$108,$B147,'11.2. Нови активи отч.год.'!$S$61:$S$108)+SUMIF('11.2. Нови активи отч.год.'!$B$61:$B$108,$B147,'11.2. Нови активи отч.год.'!V$61:V$108)+SUMIF('11.1.Амортиз.нови активи'!$B$60:$B$107,$B147,'11.1.Амортиз.нови активи'!V$60:V$107)+('11.1.Амортиз.нови активи'!H$111*SUMIF('11.1.Амортиз.нови активи'!$B$60:$B$107,$B147,'11.1.Амортиз.нови активи'!AC$60:AC$107))</f>
        <v>0</v>
      </c>
      <c r="W147" s="894">
        <f>$S147-SUMIF('11.2. Нови активи отч.год.'!$B$61:$B$108,$B147,'11.2. Нови активи отч.год.'!$S$61:$S$108)+SUMIF('11.2. Нови активи отч.год.'!$B$61:$B$108,$B147,'11.2. Нови активи отч.год.'!W$61:W$108)+SUMIF('11.1.Амортиз.нови активи'!$B$60:$B$107,$B147,'11.1.Амортиз.нови активи'!W$60:W$107)+('11.1.Амортиз.нови активи'!I$111*SUMIF('11.1.Амортиз.нови активи'!$B$60:$B$107,$B147,'11.1.Амортиз.нови активи'!AD$60:AD$107))</f>
        <v>0</v>
      </c>
      <c r="X147" s="894">
        <f>$S147-SUMIF('11.2. Нови активи отч.год.'!$B$61:$B$108,$B147,'11.2. Нови активи отч.год.'!$S$61:$S$108)+SUMIF('11.2. Нови активи отч.год.'!$B$61:$B$108,$B147,'11.2. Нови активи отч.год.'!X$61:X$108)+SUMIF('11.1.Амортиз.нови активи'!$B$60:$B$107,$B147,'11.1.Амортиз.нови активи'!X$60:X$107)+('11.1.Амортиз.нови активи'!J$111*SUMIF('11.1.Амортиз.нови активи'!$B$60:$B$107,$B147,'11.1.Амортиз.нови активи'!AE$60:AE$107))</f>
        <v>0</v>
      </c>
      <c r="Y147" s="895">
        <f>$S147-SUMIF('11.2. Нови активи отч.год.'!$B$61:$B$108,$B147,'11.2. Нови активи отч.год.'!$S$61:$S$108)+SUMIF('11.2. Нови активи отч.год.'!$B$61:$B$108,$B147,'11.2. Нови активи отч.год.'!Y$61:Y$108)+SUMIF('11.1.Амортиз.нови активи'!$B$60:$B$107,$B147,'11.1.Амортиз.нови активи'!Y$60:Y$107)+('11.1.Амортиз.нови активи'!K$111*SUMIF('11.1.Амортиз.нови активи'!$B$60:$B$107,$B147,'11.1.Амортиз.нови активи'!AF$60:AF$107))</f>
        <v>0</v>
      </c>
      <c r="Z147" s="1672"/>
      <c r="AA147" s="1703"/>
      <c r="AB147" s="1727"/>
    </row>
    <row r="148" spans="1:28" s="1643" customFormat="1">
      <c r="A148" s="1730">
        <v>18</v>
      </c>
      <c r="B148" s="1833" t="s">
        <v>1525</v>
      </c>
      <c r="C148" s="1676">
        <v>0.04</v>
      </c>
      <c r="D148" s="1728" t="s">
        <v>606</v>
      </c>
      <c r="E148" s="2246">
        <v>0</v>
      </c>
      <c r="F148" s="893">
        <f>$E148-SUMIF('11.2. Нови активи отч.год.'!$B$61:$B$108,$B148,'11.2. Нови активи отч.год.'!$E$61:$E$108)+SUMIF('11.2. Нови активи отч.год.'!$B$61:$B$108,$B148,'11.2. Нови активи отч.год.'!F$61:F$108)+SUMIF('11.1.Амортиз.нови активи'!$B$60:$B$107,$B148,'11.1.Амортиз.нови активи'!F$60:F$107)+('11.1.Амортиз.нови активи'!F$109*SUMIF('11.1.Амортиз.нови активи'!$B$60:$B$107,$B148,'11.1.Амортиз.нови активи'!AA$60:AA$107))</f>
        <v>0</v>
      </c>
      <c r="G148" s="894">
        <f>$E148-SUMIF('11.2. Нови активи отч.год.'!$B$61:$B$108,$B148,'11.2. Нови активи отч.год.'!$E$61:$E$108)+SUMIF('11.2. Нови активи отч.год.'!$B$61:$B$108,$B148,'11.2. Нови активи отч.год.'!G$61:G$108)+SUMIF('11.1.Амортиз.нови активи'!$B$60:$B$107,$B148,'11.1.Амортиз.нови активи'!G$60:G$107)+('11.1.Амортиз.нови активи'!G$109*SUMIF('11.1.Амортиз.нови активи'!$B$60:$B$107,$B148,'11.1.Амортиз.нови активи'!AB$60:AB$107))</f>
        <v>0</v>
      </c>
      <c r="H148" s="894">
        <f>$E148-SUMIF('11.2. Нови активи отч.год.'!$B$61:$B$108,$B148,'11.2. Нови активи отч.год.'!$E$61:$E$108)+SUMIF('11.2. Нови активи отч.год.'!$B$61:$B$108,$B148,'11.2. Нови активи отч.год.'!H$61:H$108)+SUMIF('11.1.Амортиз.нови активи'!$B$60:$B$107,$B148,'11.1.Амортиз.нови активи'!H$60:H$107)+('11.1.Амортиз.нови активи'!H$109*SUMIF('11.1.Амортиз.нови активи'!$B$60:$B$107,$B148,'11.1.Амортиз.нови активи'!AC$60:AC$107))</f>
        <v>0</v>
      </c>
      <c r="I148" s="894">
        <f>$E148-SUMIF('11.2. Нови активи отч.год.'!$B$61:$B$108,$B148,'11.2. Нови активи отч.год.'!$E$61:$E$108)+SUMIF('11.2. Нови активи отч.год.'!$B$61:$B$108,$B148,'11.2. Нови активи отч.год.'!I$61:I$108)+SUMIF('11.1.Амортиз.нови активи'!$B$60:$B$107,$B148,'11.1.Амортиз.нови активи'!I$60:I$107)+('11.1.Амортиз.нови активи'!I$109*SUMIF('11.1.Амортиз.нови активи'!$B$60:$B$107,$B148,'11.1.Амортиз.нови активи'!AD$60:AD$107))</f>
        <v>0</v>
      </c>
      <c r="J148" s="894">
        <f>$E148-SUMIF('11.2. Нови активи отч.год.'!$B$61:$B$108,$B148,'11.2. Нови активи отч.год.'!$E$61:$E$108)+SUMIF('11.2. Нови активи отч.год.'!$B$61:$B$108,$B148,'11.2. Нови активи отч.год.'!J$61:J$108)+SUMIF('11.1.Амортиз.нови активи'!$B$60:$B$107,$B148,'11.1.Амортиз.нови активи'!J$60:J$107)+('11.1.Амортиз.нови активи'!J$109*SUMIF('11.1.Амортиз.нови активи'!$B$60:$B$107,$B148,'11.1.Амортиз.нови активи'!AE$60:AE$107))</f>
        <v>0</v>
      </c>
      <c r="K148" s="894">
        <f>$E148-SUMIF('11.2. Нови активи отч.год.'!$B$61:$B$108,$B148,'11.2. Нови активи отч.год.'!$E$61:$E$108)+SUMIF('11.2. Нови активи отч.год.'!$B$61:$B$108,$B148,'11.2. Нови активи отч.год.'!K$61:K$108)+SUMIF('11.1.Амортиз.нови активи'!$B$60:$B$107,$B148,'11.1.Амортиз.нови активи'!K$60:K$107)+('11.1.Амортиз.нови активи'!K$109*SUMIF('11.1.Амортиз.нови активи'!$B$60:$B$107,$B148,'11.1.Амортиз.нови активи'!AF$60:AF$107))</f>
        <v>0</v>
      </c>
      <c r="L148" s="2246">
        <v>0</v>
      </c>
      <c r="M148" s="893">
        <f>$L148-SUMIF('11.2. Нови активи отч.год.'!$B$61:$B$108,$B148,'11.2. Нови активи отч.год.'!$L$61:$L$108)+SUMIF('11.2. Нови активи отч.год.'!$B$61:$B$108,$B148,'11.2. Нови активи отч.год.'!M$61:M$108)+SUMIF('11.1.Амортиз.нови активи'!$B$60:$B$107,$B148,'11.1.Амортиз.нови активи'!M$60:M$107)+('11.1.Амортиз.нови активи'!F$110*SUMIF('11.1.Амортиз.нови активи'!$B$60:$B$107,$B148,'11.1.Амортиз.нови активи'!AA$60:AA$107))</f>
        <v>0</v>
      </c>
      <c r="N148" s="894">
        <f>$L148-SUMIF('11.2. Нови активи отч.год.'!$B$61:$B$108,$B148,'11.2. Нови активи отч.год.'!$L$61:$L$108)+SUMIF('11.2. Нови активи отч.год.'!$B$61:$B$108,$B148,'11.2. Нови активи отч.год.'!N$61:N$108)+SUMIF('11.1.Амортиз.нови активи'!$B$60:$B$107,$B148,'11.1.Амортиз.нови активи'!N$60:N$107)+('11.1.Амортиз.нови активи'!G$110*SUMIF('11.1.Амортиз.нови активи'!$B$60:$B$107,$B148,'11.1.Амортиз.нови активи'!AB$60:AB$107))</f>
        <v>0</v>
      </c>
      <c r="O148" s="894">
        <f>$L148-SUMIF('11.2. Нови активи отч.год.'!$B$61:$B$108,$B148,'11.2. Нови активи отч.год.'!$L$61:$L$108)+SUMIF('11.2. Нови активи отч.год.'!$B$61:$B$108,$B148,'11.2. Нови активи отч.год.'!O$61:O$108)+SUMIF('11.1.Амортиз.нови активи'!$B$60:$B$107,$B148,'11.1.Амортиз.нови активи'!O$60:O$107)+('11.1.Амортиз.нови активи'!H$110*SUMIF('11.1.Амортиз.нови активи'!$B$60:$B$107,$B148,'11.1.Амортиз.нови активи'!AC$60:AC$107))</f>
        <v>0</v>
      </c>
      <c r="P148" s="894">
        <f>$L148-SUMIF('11.2. Нови активи отч.год.'!$B$61:$B$108,$B148,'11.2. Нови активи отч.год.'!$L$61:$L$108)+SUMIF('11.2. Нови активи отч.год.'!$B$61:$B$108,$B148,'11.2. Нови активи отч.год.'!P$61:P$108)+SUMIF('11.1.Амортиз.нови активи'!$B$60:$B$107,$B148,'11.1.Амортиз.нови активи'!P$60:P$107)+('11.1.Амортиз.нови активи'!I$110*SUMIF('11.1.Амортиз.нови активи'!$B$60:$B$107,$B148,'11.1.Амортиз.нови активи'!AD$60:AD$107))</f>
        <v>0</v>
      </c>
      <c r="Q148" s="894">
        <f>$L148-SUMIF('11.2. Нови активи отч.год.'!$B$61:$B$108,$B148,'11.2. Нови активи отч.год.'!$L$61:$L$108)+SUMIF('11.2. Нови активи отч.год.'!$B$61:$B$108,$B148,'11.2. Нови активи отч.год.'!Q$61:Q$108)+SUMIF('11.1.Амортиз.нови активи'!$B$60:$B$107,$B148,'11.1.Амортиз.нови активи'!Q$60:Q$107)+('11.1.Амортиз.нови активи'!J$110*SUMIF('11.1.Амортиз.нови активи'!$B$60:$B$107,$B148,'11.1.Амортиз.нови активи'!AE$60:AE$107))</f>
        <v>0</v>
      </c>
      <c r="R148" s="895">
        <f>$L148-SUMIF('11.2. Нови активи отч.год.'!$B$61:$B$108,$B148,'11.2. Нови активи отч.год.'!$L$61:$L$108)+SUMIF('11.2. Нови активи отч.год.'!$B$61:$B$108,$B148,'11.2. Нови активи отч.год.'!R$61:R$108)+SUMIF('11.1.Амортиз.нови активи'!$B$60:$B$107,$B148,'11.1.Амортиз.нови активи'!R$60:R$107)+('11.1.Амортиз.нови активи'!K$110*SUMIF('11.1.Амортиз.нови активи'!$B$60:$B$107,$B148,'11.1.Амортиз.нови активи'!AF$60:AF$107))</f>
        <v>0</v>
      </c>
      <c r="S148" s="2246">
        <v>0</v>
      </c>
      <c r="T148" s="893">
        <f>$S148-SUMIF('11.2. Нови активи отч.год.'!$B$61:$B$108,$B148,'11.2. Нови активи отч.год.'!$S$61:$S$108)+SUMIF('11.2. Нови активи отч.год.'!$B$61:$B$108,$B148,'11.2. Нови активи отч.год.'!T$61:T$108)+SUMIF('11.1.Амортиз.нови активи'!$B$60:$B$107,$B148,'11.1.Амортиз.нови активи'!T$60:T$107)+('11.1.Амортиз.нови активи'!F$111*SUMIF('11.1.Амортиз.нови активи'!$B$60:$B$107,$B148,'11.1.Амортиз.нови активи'!AA$60:AA$107))</f>
        <v>0</v>
      </c>
      <c r="U148" s="894">
        <f>$S148-SUMIF('11.2. Нови активи отч.год.'!$B$61:$B$108,$B148,'11.2. Нови активи отч.год.'!$S$61:$S$108)+SUMIF('11.2. Нови активи отч.год.'!$B$61:$B$108,$B148,'11.2. Нови активи отч.год.'!U$61:U$108)+SUMIF('11.1.Амортиз.нови активи'!$B$60:$B$107,$B148,'11.1.Амортиз.нови активи'!U$60:U$107)+('11.1.Амортиз.нови активи'!G$111*SUMIF('11.1.Амортиз.нови активи'!$B$60:$B$107,$B148,'11.1.Амортиз.нови активи'!AB$60:AB$107))</f>
        <v>0</v>
      </c>
      <c r="V148" s="894">
        <f>$S148-SUMIF('11.2. Нови активи отч.год.'!$B$61:$B$108,$B148,'11.2. Нови активи отч.год.'!$S$61:$S$108)+SUMIF('11.2. Нови активи отч.год.'!$B$61:$B$108,$B148,'11.2. Нови активи отч.год.'!V$61:V$108)+SUMIF('11.1.Амортиз.нови активи'!$B$60:$B$107,$B148,'11.1.Амортиз.нови активи'!V$60:V$107)+('11.1.Амортиз.нови активи'!H$111*SUMIF('11.1.Амортиз.нови активи'!$B$60:$B$107,$B148,'11.1.Амортиз.нови активи'!AC$60:AC$107))</f>
        <v>0</v>
      </c>
      <c r="W148" s="894">
        <f>$S148-SUMIF('11.2. Нови активи отч.год.'!$B$61:$B$108,$B148,'11.2. Нови активи отч.год.'!$S$61:$S$108)+SUMIF('11.2. Нови активи отч.год.'!$B$61:$B$108,$B148,'11.2. Нови активи отч.год.'!W$61:W$108)+SUMIF('11.1.Амортиз.нови активи'!$B$60:$B$107,$B148,'11.1.Амортиз.нови активи'!W$60:W$107)+('11.1.Амортиз.нови активи'!I$111*SUMIF('11.1.Амортиз.нови активи'!$B$60:$B$107,$B148,'11.1.Амортиз.нови активи'!AD$60:AD$107))</f>
        <v>0</v>
      </c>
      <c r="X148" s="894">
        <f>$S148-SUMIF('11.2. Нови активи отч.год.'!$B$61:$B$108,$B148,'11.2. Нови активи отч.год.'!$S$61:$S$108)+SUMIF('11.2. Нови активи отч.год.'!$B$61:$B$108,$B148,'11.2. Нови активи отч.год.'!X$61:X$108)+SUMIF('11.1.Амортиз.нови активи'!$B$60:$B$107,$B148,'11.1.Амортиз.нови активи'!X$60:X$107)+('11.1.Амортиз.нови активи'!J$111*SUMIF('11.1.Амортиз.нови активи'!$B$60:$B$107,$B148,'11.1.Амортиз.нови активи'!AE$60:AE$107))</f>
        <v>0</v>
      </c>
      <c r="Y148" s="895">
        <f>$S148-SUMIF('11.2. Нови активи отч.год.'!$B$61:$B$108,$B148,'11.2. Нови активи отч.год.'!$S$61:$S$108)+SUMIF('11.2. Нови активи отч.год.'!$B$61:$B$108,$B148,'11.2. Нови активи отч.год.'!Y$61:Y$108)+SUMIF('11.1.Амортиз.нови активи'!$B$60:$B$107,$B148,'11.1.Амортиз.нови активи'!Y$60:Y$107)+('11.1.Амортиз.нови активи'!K$111*SUMIF('11.1.Амортиз.нови активи'!$B$60:$B$107,$B148,'11.1.Амортиз.нови активи'!AF$60:AF$107))</f>
        <v>0</v>
      </c>
      <c r="Z148" s="1672"/>
      <c r="AA148" s="1703"/>
      <c r="AB148" s="1727"/>
    </row>
    <row r="149" spans="1:28" s="1643" customFormat="1" ht="24.75" thickBot="1">
      <c r="A149" s="1730">
        <v>19</v>
      </c>
      <c r="B149" s="1675">
        <v>215</v>
      </c>
      <c r="C149" s="1680">
        <v>0.2</v>
      </c>
      <c r="D149" s="1626" t="s">
        <v>911</v>
      </c>
      <c r="E149" s="2246">
        <v>0</v>
      </c>
      <c r="F149" s="893">
        <f>$E149-SUMIF('11.2. Нови активи отч.год.'!$B$61:$B$108,$B149,'11.2. Нови активи отч.год.'!$E$61:$E$108)+SUMIF('11.2. Нови активи отч.год.'!$B$61:$B$108,$B149,'11.2. Нови активи отч.год.'!F$61:F$108)+SUMIF('11.1.Амортиз.нови активи'!$B$60:$B$107,$B149,'11.1.Амортиз.нови активи'!F$60:F$107)+('11.1.Амортиз.нови активи'!F$109*SUMIF('11.1.Амортиз.нови активи'!$B$60:$B$107,$B149,'11.1.Амортиз.нови активи'!AA$60:AA$107))</f>
        <v>0</v>
      </c>
      <c r="G149" s="894">
        <f>$E149-SUMIF('11.2. Нови активи отч.год.'!$B$61:$B$108,$B149,'11.2. Нови активи отч.год.'!$E$61:$E$108)+SUMIF('11.2. Нови активи отч.год.'!$B$61:$B$108,$B149,'11.2. Нови активи отч.год.'!G$61:G$108)+SUMIF('11.1.Амортиз.нови активи'!$B$60:$B$107,$B149,'11.1.Амортиз.нови активи'!G$60:G$107)+('11.1.Амортиз.нови активи'!G$109*SUMIF('11.1.Амортиз.нови активи'!$B$60:$B$107,$B149,'11.1.Амортиз.нови активи'!AB$60:AB$107))</f>
        <v>0</v>
      </c>
      <c r="H149" s="894">
        <f>$E149-SUMIF('11.2. Нови активи отч.год.'!$B$61:$B$108,$B149,'11.2. Нови активи отч.год.'!$E$61:$E$108)+SUMIF('11.2. Нови активи отч.год.'!$B$61:$B$108,$B149,'11.2. Нови активи отч.год.'!H$61:H$108)+SUMIF('11.1.Амортиз.нови активи'!$B$60:$B$107,$B149,'11.1.Амортиз.нови активи'!H$60:H$107)+('11.1.Амортиз.нови активи'!H$109*SUMIF('11.1.Амортиз.нови активи'!$B$60:$B$107,$B149,'11.1.Амортиз.нови активи'!AC$60:AC$107))</f>
        <v>0</v>
      </c>
      <c r="I149" s="894">
        <f>$E149-SUMIF('11.2. Нови активи отч.год.'!$B$61:$B$108,$B149,'11.2. Нови активи отч.год.'!$E$61:$E$108)+SUMIF('11.2. Нови активи отч.год.'!$B$61:$B$108,$B149,'11.2. Нови активи отч.год.'!I$61:I$108)+SUMIF('11.1.Амортиз.нови активи'!$B$60:$B$107,$B149,'11.1.Амортиз.нови активи'!I$60:I$107)+('11.1.Амортиз.нови активи'!I$109*SUMIF('11.1.Амортиз.нови активи'!$B$60:$B$107,$B149,'11.1.Амортиз.нови активи'!AD$60:AD$107))</f>
        <v>0</v>
      </c>
      <c r="J149" s="894">
        <f>$E149-SUMIF('11.2. Нови активи отч.год.'!$B$61:$B$108,$B149,'11.2. Нови активи отч.год.'!$E$61:$E$108)+SUMIF('11.2. Нови активи отч.год.'!$B$61:$B$108,$B149,'11.2. Нови активи отч.год.'!J$61:J$108)+SUMIF('11.1.Амортиз.нови активи'!$B$60:$B$107,$B149,'11.1.Амортиз.нови активи'!J$60:J$107)+('11.1.Амортиз.нови активи'!J$109*SUMIF('11.1.Амортиз.нови активи'!$B$60:$B$107,$B149,'11.1.Амортиз.нови активи'!AE$60:AE$107))</f>
        <v>0</v>
      </c>
      <c r="K149" s="894">
        <f>$E149-SUMIF('11.2. Нови активи отч.год.'!$B$61:$B$108,$B149,'11.2. Нови активи отч.год.'!$E$61:$E$108)+SUMIF('11.2. Нови активи отч.год.'!$B$61:$B$108,$B149,'11.2. Нови активи отч.год.'!K$61:K$108)+SUMIF('11.1.Амортиз.нови активи'!$B$60:$B$107,$B149,'11.1.Амортиз.нови активи'!K$60:K$107)+('11.1.Амортиз.нови активи'!K$109*SUMIF('11.1.Амортиз.нови активи'!$B$60:$B$107,$B149,'11.1.Амортиз.нови активи'!AF$60:AF$107))</f>
        <v>0</v>
      </c>
      <c r="L149" s="2246">
        <v>0</v>
      </c>
      <c r="M149" s="899">
        <f>$L149-SUMIF('11.2. Нови активи отч.год.'!$B$61:$B$108,$B149,'11.2. Нови активи отч.год.'!$L$61:$L$108)+SUMIF('11.2. Нови активи отч.год.'!$B$61:$B$108,$B149,'11.2. Нови активи отч.год.'!M$61:M$108)+SUMIF('11.1.Амортиз.нови активи'!$B$60:$B$107,$B149,'11.1.Амортиз.нови активи'!M$60:M$107)+('11.1.Амортиз.нови активи'!F$110*SUMIF('11.1.Амортиз.нови активи'!$B$60:$B$107,$B149,'11.1.Амортиз.нови активи'!AA$60:AA$107))</f>
        <v>0</v>
      </c>
      <c r="N149" s="900">
        <f>$L149-SUMIF('11.2. Нови активи отч.год.'!$B$61:$B$108,$B149,'11.2. Нови активи отч.год.'!$L$61:$L$108)+SUMIF('11.2. Нови активи отч.год.'!$B$61:$B$108,$B149,'11.2. Нови активи отч.год.'!N$61:N$108)+SUMIF('11.1.Амортиз.нови активи'!$B$60:$B$107,$B149,'11.1.Амортиз.нови активи'!N$60:N$107)+('11.1.Амортиз.нови активи'!G$110*SUMIF('11.1.Амортиз.нови активи'!$B$60:$B$107,$B149,'11.1.Амортиз.нови активи'!AB$60:AB$107))</f>
        <v>0</v>
      </c>
      <c r="O149" s="900">
        <f>$L149-SUMIF('11.2. Нови активи отч.год.'!$B$61:$B$108,$B149,'11.2. Нови активи отч.год.'!$L$61:$L$108)+SUMIF('11.2. Нови активи отч.год.'!$B$61:$B$108,$B149,'11.2. Нови активи отч.год.'!O$61:O$108)+SUMIF('11.1.Амортиз.нови активи'!$B$60:$B$107,$B149,'11.1.Амортиз.нови активи'!O$60:O$107)+('11.1.Амортиз.нови активи'!H$110*SUMIF('11.1.Амортиз.нови активи'!$B$60:$B$107,$B149,'11.1.Амортиз.нови активи'!AC$60:AC$107))</f>
        <v>0</v>
      </c>
      <c r="P149" s="900">
        <f>$L149-SUMIF('11.2. Нови активи отч.год.'!$B$61:$B$108,$B149,'11.2. Нови активи отч.год.'!$L$61:$L$108)+SUMIF('11.2. Нови активи отч.год.'!$B$61:$B$108,$B149,'11.2. Нови активи отч.год.'!P$61:P$108)+SUMIF('11.1.Амортиз.нови активи'!$B$60:$B$107,$B149,'11.1.Амортиз.нови активи'!P$60:P$107)+('11.1.Амортиз.нови активи'!I$110*SUMIF('11.1.Амортиз.нови активи'!$B$60:$B$107,$B149,'11.1.Амортиз.нови активи'!AD$60:AD$107))</f>
        <v>0</v>
      </c>
      <c r="Q149" s="900">
        <f>$L149-SUMIF('11.2. Нови активи отч.год.'!$B$61:$B$108,$B149,'11.2. Нови активи отч.год.'!$L$61:$L$108)+SUMIF('11.2. Нови активи отч.год.'!$B$61:$B$108,$B149,'11.2. Нови активи отч.год.'!Q$61:Q$108)+SUMIF('11.1.Амортиз.нови активи'!$B$60:$B$107,$B149,'11.1.Амортиз.нови активи'!Q$60:Q$107)+('11.1.Амортиз.нови активи'!J$110*SUMIF('11.1.Амортиз.нови активи'!$B$60:$B$107,$B149,'11.1.Амортиз.нови активи'!AE$60:AE$107))</f>
        <v>0</v>
      </c>
      <c r="R149" s="901">
        <f>$L149-SUMIF('11.2. Нови активи отч.год.'!$B$61:$B$108,$B149,'11.2. Нови активи отч.год.'!$L$61:$L$108)+SUMIF('11.2. Нови активи отч.год.'!$B$61:$B$108,$B149,'11.2. Нови активи отч.год.'!R$61:R$108)+SUMIF('11.1.Амортиз.нови активи'!$B$60:$B$107,$B149,'11.1.Амортиз.нови активи'!R$60:R$107)+('11.1.Амортиз.нови активи'!K$110*SUMIF('11.1.Амортиз.нови активи'!$B$60:$B$107,$B149,'11.1.Амортиз.нови активи'!AF$60:AF$107))</f>
        <v>0</v>
      </c>
      <c r="S149" s="2246">
        <v>0</v>
      </c>
      <c r="T149" s="893">
        <f>$S149-SUMIF('11.2. Нови активи отч.год.'!$B$61:$B$108,$B149,'11.2. Нови активи отч.год.'!$S$61:$S$108)+SUMIF('11.2. Нови активи отч.год.'!$B$61:$B$108,$B149,'11.2. Нови активи отч.год.'!T$61:T$108)+SUMIF('11.1.Амортиз.нови активи'!$B$60:$B$107,$B149,'11.1.Амортиз.нови активи'!T$60:T$107)+('11.1.Амортиз.нови активи'!F$111*SUMIF('11.1.Амортиз.нови активи'!$B$60:$B$107,$B149,'11.1.Амортиз.нови активи'!AA$60:AA$107))</f>
        <v>0</v>
      </c>
      <c r="U149" s="894">
        <f>$S149-SUMIF('11.2. Нови активи отч.год.'!$B$61:$B$108,$B149,'11.2. Нови активи отч.год.'!$S$61:$S$108)+SUMIF('11.2. Нови активи отч.год.'!$B$61:$B$108,$B149,'11.2. Нови активи отч.год.'!U$61:U$108)+SUMIF('11.1.Амортиз.нови активи'!$B$60:$B$107,$B149,'11.1.Амортиз.нови активи'!U$60:U$107)+('11.1.Амортиз.нови активи'!G$111*SUMIF('11.1.Амортиз.нови активи'!$B$60:$B$107,$B149,'11.1.Амортиз.нови активи'!AB$60:AB$107))</f>
        <v>0</v>
      </c>
      <c r="V149" s="894">
        <f>$S149-SUMIF('11.2. Нови активи отч.год.'!$B$61:$B$108,$B149,'11.2. Нови активи отч.год.'!$S$61:$S$108)+SUMIF('11.2. Нови активи отч.год.'!$B$61:$B$108,$B149,'11.2. Нови активи отч.год.'!V$61:V$108)+SUMIF('11.1.Амортиз.нови активи'!$B$60:$B$107,$B149,'11.1.Амортиз.нови активи'!V$60:V$107)+('11.1.Амортиз.нови активи'!H$111*SUMIF('11.1.Амортиз.нови активи'!$B$60:$B$107,$B149,'11.1.Амортиз.нови активи'!AC$60:AC$107))</f>
        <v>0</v>
      </c>
      <c r="W149" s="894">
        <f>$S149-SUMIF('11.2. Нови активи отч.год.'!$B$61:$B$108,$B149,'11.2. Нови активи отч.год.'!$S$61:$S$108)+SUMIF('11.2. Нови активи отч.год.'!$B$61:$B$108,$B149,'11.2. Нови активи отч.год.'!W$61:W$108)+SUMIF('11.1.Амортиз.нови активи'!$B$60:$B$107,$B149,'11.1.Амортиз.нови активи'!W$60:W$107)+('11.1.Амортиз.нови активи'!I$111*SUMIF('11.1.Амортиз.нови активи'!$B$60:$B$107,$B149,'11.1.Амортиз.нови активи'!AD$60:AD$107))</f>
        <v>0</v>
      </c>
      <c r="X149" s="894">
        <f>$S149-SUMIF('11.2. Нови активи отч.год.'!$B$61:$B$108,$B149,'11.2. Нови активи отч.год.'!$S$61:$S$108)+SUMIF('11.2. Нови активи отч.год.'!$B$61:$B$108,$B149,'11.2. Нови активи отч.год.'!X$61:X$108)+SUMIF('11.1.Амортиз.нови активи'!$B$60:$B$107,$B149,'11.1.Амортиз.нови активи'!X$60:X$107)+('11.1.Амортиз.нови активи'!J$111*SUMIF('11.1.Амортиз.нови активи'!$B$60:$B$107,$B149,'11.1.Амортиз.нови активи'!AE$60:AE$107))</f>
        <v>0</v>
      </c>
      <c r="Y149" s="895">
        <f>$S149-SUMIF('11.2. Нови активи отч.год.'!$B$61:$B$108,$B149,'11.2. Нови активи отч.год.'!$S$61:$S$108)+SUMIF('11.2. Нови активи отч.год.'!$B$61:$B$108,$B149,'11.2. Нови активи отч.год.'!Y$61:Y$108)+SUMIF('11.1.Амортиз.нови активи'!$B$60:$B$107,$B149,'11.1.Амортиз.нови активи'!Y$60:Y$107)+('11.1.Амортиз.нови активи'!K$111*SUMIF('11.1.Амортиз.нови активи'!$B$60:$B$107,$B149,'11.1.Амортиз.нови активи'!AF$60:AF$107))</f>
        <v>0</v>
      </c>
      <c r="Z149" s="1672"/>
      <c r="AA149" s="1703"/>
      <c r="AB149" s="1727"/>
    </row>
    <row r="150" spans="1:28" s="1643" customFormat="1" ht="13.5" thickBot="1">
      <c r="A150" s="1695" t="s">
        <v>282</v>
      </c>
      <c r="B150" s="1696"/>
      <c r="C150" s="1696"/>
      <c r="D150" s="1666" t="s">
        <v>283</v>
      </c>
      <c r="E150" s="1719">
        <f t="shared" ref="E150:Y150" si="106">SUM(E151:E169)</f>
        <v>0</v>
      </c>
      <c r="F150" s="1723">
        <f t="shared" si="106"/>
        <v>85.890000000000015</v>
      </c>
      <c r="G150" s="1724">
        <f t="shared" si="106"/>
        <v>237.88</v>
      </c>
      <c r="H150" s="1724">
        <f t="shared" si="106"/>
        <v>418.82</v>
      </c>
      <c r="I150" s="1725">
        <f t="shared" si="106"/>
        <v>627.66</v>
      </c>
      <c r="J150" s="1724">
        <f t="shared" si="106"/>
        <v>862.19999999999993</v>
      </c>
      <c r="K150" s="1724">
        <f t="shared" si="106"/>
        <v>1120.2399999999998</v>
      </c>
      <c r="L150" s="1719">
        <f t="shared" si="106"/>
        <v>0</v>
      </c>
      <c r="M150" s="1723">
        <f t="shared" si="106"/>
        <v>0.63</v>
      </c>
      <c r="N150" s="1724">
        <f t="shared" si="106"/>
        <v>2.2400000000000002</v>
      </c>
      <c r="O150" s="1724">
        <f t="shared" si="106"/>
        <v>4.66</v>
      </c>
      <c r="P150" s="1725">
        <f t="shared" si="106"/>
        <v>8.18</v>
      </c>
      <c r="Q150" s="1724">
        <f t="shared" si="106"/>
        <v>13.030000000000001</v>
      </c>
      <c r="R150" s="1724">
        <f t="shared" si="106"/>
        <v>18.920000000000002</v>
      </c>
      <c r="S150" s="1719">
        <f t="shared" si="106"/>
        <v>0</v>
      </c>
      <c r="T150" s="1720">
        <f t="shared" si="106"/>
        <v>0</v>
      </c>
      <c r="U150" s="1721">
        <f t="shared" si="106"/>
        <v>0.78</v>
      </c>
      <c r="V150" s="1721">
        <f t="shared" si="106"/>
        <v>3.0200000000000005</v>
      </c>
      <c r="W150" s="1722">
        <f t="shared" si="106"/>
        <v>6.86</v>
      </c>
      <c r="X150" s="1721">
        <f t="shared" si="106"/>
        <v>12.24</v>
      </c>
      <c r="Y150" s="1726">
        <f t="shared" si="106"/>
        <v>19.060000000000002</v>
      </c>
      <c r="Z150" s="1667"/>
      <c r="AA150" s="1703"/>
      <c r="AB150" s="1727"/>
    </row>
    <row r="151" spans="1:28" s="1643" customFormat="1">
      <c r="A151" s="1674">
        <v>1</v>
      </c>
      <c r="B151" s="1669">
        <v>20102</v>
      </c>
      <c r="C151" s="1691">
        <v>0</v>
      </c>
      <c r="D151" s="280" t="s">
        <v>760</v>
      </c>
      <c r="E151" s="2246">
        <v>0</v>
      </c>
      <c r="F151" s="2748">
        <f t="shared" ref="F151:K152" si="107">E151+F131</f>
        <v>0</v>
      </c>
      <c r="G151" s="2749">
        <f t="shared" si="107"/>
        <v>0</v>
      </c>
      <c r="H151" s="2749">
        <f t="shared" si="107"/>
        <v>0</v>
      </c>
      <c r="I151" s="2749">
        <f t="shared" si="107"/>
        <v>0</v>
      </c>
      <c r="J151" s="2749">
        <f t="shared" si="107"/>
        <v>0</v>
      </c>
      <c r="K151" s="2750">
        <f t="shared" si="107"/>
        <v>0</v>
      </c>
      <c r="L151" s="2246">
        <v>0</v>
      </c>
      <c r="M151" s="2748">
        <f t="shared" ref="M151:R152" si="108">L151+M131</f>
        <v>0</v>
      </c>
      <c r="N151" s="2749">
        <f t="shared" si="108"/>
        <v>0</v>
      </c>
      <c r="O151" s="2749">
        <f t="shared" si="108"/>
        <v>0</v>
      </c>
      <c r="P151" s="2749">
        <f t="shared" si="108"/>
        <v>0</v>
      </c>
      <c r="Q151" s="2749">
        <f t="shared" si="108"/>
        <v>0</v>
      </c>
      <c r="R151" s="2750">
        <f t="shared" si="108"/>
        <v>0</v>
      </c>
      <c r="S151" s="2246">
        <v>0</v>
      </c>
      <c r="T151" s="2748">
        <f t="shared" ref="T151:Y152" si="109">S151+T131</f>
        <v>0</v>
      </c>
      <c r="U151" s="2749">
        <f t="shared" si="109"/>
        <v>0</v>
      </c>
      <c r="V151" s="2749">
        <f t="shared" si="109"/>
        <v>0</v>
      </c>
      <c r="W151" s="2749">
        <f t="shared" si="109"/>
        <v>0</v>
      </c>
      <c r="X151" s="2749">
        <f t="shared" si="109"/>
        <v>0</v>
      </c>
      <c r="Y151" s="2750">
        <f t="shared" si="109"/>
        <v>0</v>
      </c>
      <c r="Z151" s="1672"/>
      <c r="AA151" s="1703"/>
      <c r="AB151" s="1727"/>
    </row>
    <row r="152" spans="1:28" s="1643" customFormat="1">
      <c r="A152" s="1674">
        <v>2</v>
      </c>
      <c r="B152" s="1675">
        <v>20202</v>
      </c>
      <c r="C152" s="1676">
        <v>0.03</v>
      </c>
      <c r="D152" s="1728" t="s">
        <v>598</v>
      </c>
      <c r="E152" s="2246">
        <v>0</v>
      </c>
      <c r="F152" s="2751">
        <f t="shared" si="107"/>
        <v>1.21</v>
      </c>
      <c r="G152" s="2752">
        <f t="shared" si="107"/>
        <v>2.7199999999999998</v>
      </c>
      <c r="H152" s="2752">
        <f t="shared" si="107"/>
        <v>4.68</v>
      </c>
      <c r="I152" s="2752">
        <f t="shared" si="107"/>
        <v>6.9399999999999995</v>
      </c>
      <c r="J152" s="2752">
        <f t="shared" si="107"/>
        <v>9.5</v>
      </c>
      <c r="K152" s="2753">
        <f t="shared" si="107"/>
        <v>12.36</v>
      </c>
      <c r="L152" s="2246">
        <v>0</v>
      </c>
      <c r="M152" s="2751">
        <f t="shared" si="108"/>
        <v>0</v>
      </c>
      <c r="N152" s="2752">
        <f t="shared" si="108"/>
        <v>0</v>
      </c>
      <c r="O152" s="2752">
        <f t="shared" si="108"/>
        <v>0</v>
      </c>
      <c r="P152" s="2752">
        <f t="shared" si="108"/>
        <v>0</v>
      </c>
      <c r="Q152" s="2752">
        <f t="shared" si="108"/>
        <v>0</v>
      </c>
      <c r="R152" s="2753">
        <f t="shared" si="108"/>
        <v>0</v>
      </c>
      <c r="S152" s="2246">
        <v>0</v>
      </c>
      <c r="T152" s="2751">
        <f t="shared" si="109"/>
        <v>0</v>
      </c>
      <c r="U152" s="2752">
        <f t="shared" si="109"/>
        <v>0</v>
      </c>
      <c r="V152" s="2752">
        <f t="shared" si="109"/>
        <v>0</v>
      </c>
      <c r="W152" s="2752">
        <f t="shared" si="109"/>
        <v>0</v>
      </c>
      <c r="X152" s="2752">
        <f t="shared" si="109"/>
        <v>0</v>
      </c>
      <c r="Y152" s="2753">
        <f t="shared" si="109"/>
        <v>0</v>
      </c>
      <c r="Z152" s="1672"/>
      <c r="AA152" s="1703"/>
      <c r="AB152" s="1727"/>
    </row>
    <row r="153" spans="1:28" s="1643" customFormat="1">
      <c r="A153" s="1674">
        <v>3</v>
      </c>
      <c r="B153" s="1675">
        <v>2030401</v>
      </c>
      <c r="C153" s="1680">
        <v>0.1</v>
      </c>
      <c r="D153" s="1626" t="s">
        <v>1470</v>
      </c>
      <c r="E153" s="2246">
        <v>0</v>
      </c>
      <c r="F153" s="2751">
        <f t="shared" ref="F153:K153" si="110">E153+F133</f>
        <v>3.4</v>
      </c>
      <c r="G153" s="2752">
        <f t="shared" si="110"/>
        <v>6.8</v>
      </c>
      <c r="H153" s="2752">
        <f t="shared" si="110"/>
        <v>10.199999999999999</v>
      </c>
      <c r="I153" s="2752">
        <f t="shared" si="110"/>
        <v>13.6</v>
      </c>
      <c r="J153" s="2752">
        <f t="shared" si="110"/>
        <v>17</v>
      </c>
      <c r="K153" s="2753">
        <f t="shared" si="110"/>
        <v>20.399999999999999</v>
      </c>
      <c r="L153" s="2246">
        <v>0</v>
      </c>
      <c r="M153" s="2751">
        <f t="shared" ref="M153:R153" si="111">L153+M133</f>
        <v>0</v>
      </c>
      <c r="N153" s="2752">
        <f t="shared" si="111"/>
        <v>0</v>
      </c>
      <c r="O153" s="2752">
        <f t="shared" si="111"/>
        <v>0</v>
      </c>
      <c r="P153" s="2752">
        <f t="shared" si="111"/>
        <v>0</v>
      </c>
      <c r="Q153" s="2752">
        <f t="shared" si="111"/>
        <v>0</v>
      </c>
      <c r="R153" s="2753">
        <f t="shared" si="111"/>
        <v>0</v>
      </c>
      <c r="S153" s="2246">
        <v>0</v>
      </c>
      <c r="T153" s="2751">
        <f t="shared" ref="T153:Y153" si="112">S153+T133</f>
        <v>0</v>
      </c>
      <c r="U153" s="2752">
        <f t="shared" si="112"/>
        <v>0</v>
      </c>
      <c r="V153" s="2752">
        <f t="shared" si="112"/>
        <v>0</v>
      </c>
      <c r="W153" s="2752">
        <f t="shared" si="112"/>
        <v>0</v>
      </c>
      <c r="X153" s="2752">
        <f t="shared" si="112"/>
        <v>0</v>
      </c>
      <c r="Y153" s="2753">
        <f t="shared" si="112"/>
        <v>0</v>
      </c>
      <c r="Z153" s="1672"/>
      <c r="AA153" s="1703"/>
      <c r="AB153" s="1727"/>
    </row>
    <row r="154" spans="1:28" s="1643" customFormat="1">
      <c r="A154" s="1674">
        <v>4</v>
      </c>
      <c r="B154" s="1675">
        <v>2030402</v>
      </c>
      <c r="C154" s="1680">
        <v>0.1</v>
      </c>
      <c r="D154" s="1626" t="s">
        <v>601</v>
      </c>
      <c r="E154" s="2246">
        <v>0</v>
      </c>
      <c r="F154" s="2751">
        <f>E154+F134</f>
        <v>0</v>
      </c>
      <c r="G154" s="2752">
        <f t="shared" ref="G154" si="113">F154+G134</f>
        <v>0</v>
      </c>
      <c r="H154" s="2752">
        <f t="shared" ref="H154" si="114">G154+H134</f>
        <v>0</v>
      </c>
      <c r="I154" s="2752">
        <f t="shared" ref="I154" si="115">H154+I134</f>
        <v>0</v>
      </c>
      <c r="J154" s="2752">
        <f t="shared" ref="J154" si="116">I154+J134</f>
        <v>0</v>
      </c>
      <c r="K154" s="2753">
        <f t="shared" ref="K154" si="117">J154+K134</f>
        <v>0</v>
      </c>
      <c r="L154" s="2246">
        <v>0</v>
      </c>
      <c r="M154" s="2751">
        <f t="shared" ref="M154" si="118">L154+M134</f>
        <v>0</v>
      </c>
      <c r="N154" s="2752">
        <f t="shared" ref="N154" si="119">M154+N134</f>
        <v>0</v>
      </c>
      <c r="O154" s="2752">
        <f t="shared" ref="O154" si="120">N154+O134</f>
        <v>0</v>
      </c>
      <c r="P154" s="2752">
        <f t="shared" ref="P154" si="121">O154+P134</f>
        <v>0</v>
      </c>
      <c r="Q154" s="2752">
        <f t="shared" ref="Q154" si="122">P154+Q134</f>
        <v>0</v>
      </c>
      <c r="R154" s="2753">
        <f t="shared" ref="R154" si="123">Q154+R134</f>
        <v>0</v>
      </c>
      <c r="S154" s="2246">
        <v>0</v>
      </c>
      <c r="T154" s="2751">
        <f t="shared" ref="T154" si="124">S154+T134</f>
        <v>0</v>
      </c>
      <c r="U154" s="2752">
        <f t="shared" ref="U154" si="125">T154+U134</f>
        <v>0</v>
      </c>
      <c r="V154" s="2752">
        <f t="shared" ref="V154" si="126">U154+V134</f>
        <v>0</v>
      </c>
      <c r="W154" s="2752">
        <f t="shared" ref="W154" si="127">V154+W134</f>
        <v>0</v>
      </c>
      <c r="X154" s="2752">
        <f t="shared" ref="X154" si="128">W154+X134</f>
        <v>0</v>
      </c>
      <c r="Y154" s="2753">
        <f t="shared" ref="Y154" si="129">X154+Y134</f>
        <v>0</v>
      </c>
      <c r="Z154" s="1672"/>
      <c r="AA154" s="1703"/>
      <c r="AB154" s="1727"/>
    </row>
    <row r="155" spans="1:28" s="1643" customFormat="1">
      <c r="A155" s="1674">
        <v>5</v>
      </c>
      <c r="B155" s="1675">
        <v>2030501</v>
      </c>
      <c r="C155" s="1680">
        <v>0.1</v>
      </c>
      <c r="D155" s="1626" t="s">
        <v>580</v>
      </c>
      <c r="E155" s="2246">
        <v>0</v>
      </c>
      <c r="F155" s="2751">
        <f t="shared" ref="F155:K155" si="130">E155+F135</f>
        <v>16.16</v>
      </c>
      <c r="G155" s="2752">
        <f t="shared" si="130"/>
        <v>46.32</v>
      </c>
      <c r="H155" s="2752">
        <f t="shared" si="130"/>
        <v>81.47999999999999</v>
      </c>
      <c r="I155" s="2752">
        <f t="shared" si="130"/>
        <v>121.63999999999999</v>
      </c>
      <c r="J155" s="2752">
        <f t="shared" si="130"/>
        <v>165.79999999999998</v>
      </c>
      <c r="K155" s="2753">
        <f t="shared" si="130"/>
        <v>212.95999999999998</v>
      </c>
      <c r="L155" s="2246">
        <v>0</v>
      </c>
      <c r="M155" s="2751">
        <f t="shared" ref="M155:R155" si="131">L155+M135</f>
        <v>0</v>
      </c>
      <c r="N155" s="2752">
        <f t="shared" si="131"/>
        <v>0</v>
      </c>
      <c r="O155" s="2752">
        <f t="shared" si="131"/>
        <v>0</v>
      </c>
      <c r="P155" s="2752">
        <f t="shared" si="131"/>
        <v>0</v>
      </c>
      <c r="Q155" s="2752">
        <f t="shared" si="131"/>
        <v>0</v>
      </c>
      <c r="R155" s="2753">
        <f t="shared" si="131"/>
        <v>0</v>
      </c>
      <c r="S155" s="2246">
        <v>0</v>
      </c>
      <c r="T155" s="2751">
        <f t="shared" ref="T155:Y155" si="132">S155+T135</f>
        <v>0</v>
      </c>
      <c r="U155" s="2752">
        <f t="shared" si="132"/>
        <v>0</v>
      </c>
      <c r="V155" s="2752">
        <f t="shared" si="132"/>
        <v>0</v>
      </c>
      <c r="W155" s="2752">
        <f t="shared" si="132"/>
        <v>0</v>
      </c>
      <c r="X155" s="2752">
        <f t="shared" si="132"/>
        <v>0</v>
      </c>
      <c r="Y155" s="2753">
        <f t="shared" si="132"/>
        <v>0</v>
      </c>
      <c r="Z155" s="1672"/>
      <c r="AA155" s="1703"/>
      <c r="AB155" s="1727"/>
    </row>
    <row r="156" spans="1:28" s="1643" customFormat="1" ht="24">
      <c r="A156" s="1674">
        <v>6</v>
      </c>
      <c r="B156" s="1675">
        <v>2030502</v>
      </c>
      <c r="C156" s="1680">
        <v>0.1</v>
      </c>
      <c r="D156" s="1626" t="s">
        <v>948</v>
      </c>
      <c r="E156" s="2246">
        <v>0</v>
      </c>
      <c r="F156" s="2751">
        <f t="shared" ref="F156:K156" si="133">E156+F136</f>
        <v>15.8</v>
      </c>
      <c r="G156" s="2752">
        <f t="shared" si="133"/>
        <v>48.599999999999994</v>
      </c>
      <c r="H156" s="2752">
        <f t="shared" si="133"/>
        <v>86.399999999999991</v>
      </c>
      <c r="I156" s="2752">
        <f t="shared" si="133"/>
        <v>129.19999999999999</v>
      </c>
      <c r="J156" s="2752">
        <f t="shared" si="133"/>
        <v>176</v>
      </c>
      <c r="K156" s="2753">
        <f t="shared" si="133"/>
        <v>225.8</v>
      </c>
      <c r="L156" s="2246">
        <v>0</v>
      </c>
      <c r="M156" s="2751">
        <f t="shared" ref="M156:R156" si="134">L156+M136</f>
        <v>0</v>
      </c>
      <c r="N156" s="2752">
        <f t="shared" si="134"/>
        <v>0</v>
      </c>
      <c r="O156" s="2752">
        <f t="shared" si="134"/>
        <v>0</v>
      </c>
      <c r="P156" s="2752">
        <f t="shared" si="134"/>
        <v>0</v>
      </c>
      <c r="Q156" s="2752">
        <f t="shared" si="134"/>
        <v>0</v>
      </c>
      <c r="R156" s="2753">
        <f t="shared" si="134"/>
        <v>0</v>
      </c>
      <c r="S156" s="2246">
        <v>0</v>
      </c>
      <c r="T156" s="2751">
        <f t="shared" ref="T156:Y156" si="135">S156+T136</f>
        <v>0</v>
      </c>
      <c r="U156" s="2752">
        <f t="shared" si="135"/>
        <v>0</v>
      </c>
      <c r="V156" s="2752">
        <f t="shared" si="135"/>
        <v>0</v>
      </c>
      <c r="W156" s="2752">
        <f t="shared" si="135"/>
        <v>0</v>
      </c>
      <c r="X156" s="2752">
        <f t="shared" si="135"/>
        <v>0</v>
      </c>
      <c r="Y156" s="2753">
        <f t="shared" si="135"/>
        <v>0</v>
      </c>
      <c r="Z156" s="1672"/>
      <c r="AA156" s="1703"/>
      <c r="AB156" s="1727"/>
    </row>
    <row r="157" spans="1:28" s="1643" customFormat="1">
      <c r="A157" s="1674">
        <v>7</v>
      </c>
      <c r="B157" s="1675">
        <v>2030503</v>
      </c>
      <c r="C157" s="1680">
        <v>0.1</v>
      </c>
      <c r="D157" s="1626" t="s">
        <v>966</v>
      </c>
      <c r="E157" s="2246">
        <v>0</v>
      </c>
      <c r="F157" s="2751">
        <f t="shared" ref="F157:K157" si="136">E157+F137</f>
        <v>10.3</v>
      </c>
      <c r="G157" s="2752">
        <f t="shared" si="136"/>
        <v>32.200000000000003</v>
      </c>
      <c r="H157" s="2752">
        <f t="shared" si="136"/>
        <v>59.1</v>
      </c>
      <c r="I157" s="2752">
        <f t="shared" si="136"/>
        <v>91</v>
      </c>
      <c r="J157" s="2752">
        <f t="shared" si="136"/>
        <v>127.9</v>
      </c>
      <c r="K157" s="2753">
        <f t="shared" si="136"/>
        <v>169.8</v>
      </c>
      <c r="L157" s="2246">
        <v>0</v>
      </c>
      <c r="M157" s="2751">
        <f t="shared" ref="M157:R157" si="137">L157+M137</f>
        <v>0</v>
      </c>
      <c r="N157" s="2752">
        <f t="shared" si="137"/>
        <v>0</v>
      </c>
      <c r="O157" s="2752">
        <f t="shared" si="137"/>
        <v>0</v>
      </c>
      <c r="P157" s="2752">
        <f t="shared" si="137"/>
        <v>0</v>
      </c>
      <c r="Q157" s="2752">
        <f t="shared" si="137"/>
        <v>0</v>
      </c>
      <c r="R157" s="2753">
        <f t="shared" si="137"/>
        <v>0</v>
      </c>
      <c r="S157" s="2246">
        <v>0</v>
      </c>
      <c r="T157" s="2751">
        <f t="shared" ref="T157:Y157" si="138">S157+T137</f>
        <v>0</v>
      </c>
      <c r="U157" s="2752">
        <f t="shared" si="138"/>
        <v>0</v>
      </c>
      <c r="V157" s="2752">
        <f t="shared" si="138"/>
        <v>0</v>
      </c>
      <c r="W157" s="2752">
        <f t="shared" si="138"/>
        <v>0</v>
      </c>
      <c r="X157" s="2752">
        <f t="shared" si="138"/>
        <v>0</v>
      </c>
      <c r="Y157" s="2753">
        <f t="shared" si="138"/>
        <v>0</v>
      </c>
      <c r="Z157" s="1672"/>
      <c r="AA157" s="1703"/>
      <c r="AB157" s="1727"/>
    </row>
    <row r="158" spans="1:28" s="1643" customFormat="1">
      <c r="A158" s="1674">
        <v>8</v>
      </c>
      <c r="B158" s="1675">
        <v>2040101</v>
      </c>
      <c r="C158" s="1729">
        <v>0.1</v>
      </c>
      <c r="D158" s="1638" t="s">
        <v>1442</v>
      </c>
      <c r="E158" s="2246">
        <v>0</v>
      </c>
      <c r="F158" s="2751">
        <f t="shared" ref="F158:K169" si="139">E158+F138</f>
        <v>0.40000000000000008</v>
      </c>
      <c r="G158" s="2752">
        <f t="shared" si="139"/>
        <v>0.80000000000000016</v>
      </c>
      <c r="H158" s="2752">
        <f t="shared" si="139"/>
        <v>1.2000000000000002</v>
      </c>
      <c r="I158" s="2752">
        <f t="shared" si="139"/>
        <v>1.6000000000000003</v>
      </c>
      <c r="J158" s="2752">
        <f t="shared" si="139"/>
        <v>2.0000000000000004</v>
      </c>
      <c r="K158" s="2753">
        <f t="shared" si="139"/>
        <v>2.4000000000000004</v>
      </c>
      <c r="L158" s="2246">
        <v>0</v>
      </c>
      <c r="M158" s="2751">
        <f t="shared" ref="M158:R169" si="140">L158+M138</f>
        <v>0</v>
      </c>
      <c r="N158" s="2752">
        <f t="shared" si="140"/>
        <v>0</v>
      </c>
      <c r="O158" s="2752">
        <f t="shared" si="140"/>
        <v>0</v>
      </c>
      <c r="P158" s="2752">
        <f t="shared" si="140"/>
        <v>0</v>
      </c>
      <c r="Q158" s="2752">
        <f t="shared" si="140"/>
        <v>0</v>
      </c>
      <c r="R158" s="2753">
        <f t="shared" si="140"/>
        <v>0</v>
      </c>
      <c r="S158" s="2246">
        <v>0</v>
      </c>
      <c r="T158" s="2751">
        <f t="shared" ref="T158:Y169" si="141">S158+T138</f>
        <v>0</v>
      </c>
      <c r="U158" s="2752">
        <f t="shared" si="141"/>
        <v>0</v>
      </c>
      <c r="V158" s="2752">
        <f t="shared" si="141"/>
        <v>0</v>
      </c>
      <c r="W158" s="2752">
        <f t="shared" si="141"/>
        <v>0</v>
      </c>
      <c r="X158" s="2752">
        <f t="shared" si="141"/>
        <v>0</v>
      </c>
      <c r="Y158" s="2753">
        <f t="shared" si="141"/>
        <v>0</v>
      </c>
      <c r="Z158" s="1672"/>
      <c r="AA158" s="1703"/>
      <c r="AB158" s="1727"/>
    </row>
    <row r="159" spans="1:28" s="1643" customFormat="1">
      <c r="A159" s="1730">
        <v>9</v>
      </c>
      <c r="B159" s="1675">
        <v>2040102</v>
      </c>
      <c r="C159" s="1729">
        <v>0.04</v>
      </c>
      <c r="D159" s="1638" t="s">
        <v>604</v>
      </c>
      <c r="E159" s="2246">
        <v>0</v>
      </c>
      <c r="F159" s="2751">
        <f t="shared" si="139"/>
        <v>0</v>
      </c>
      <c r="G159" s="2752">
        <f t="shared" si="139"/>
        <v>0</v>
      </c>
      <c r="H159" s="2752">
        <f t="shared" si="139"/>
        <v>0</v>
      </c>
      <c r="I159" s="2752">
        <f t="shared" si="139"/>
        <v>0</v>
      </c>
      <c r="J159" s="2752">
        <f t="shared" si="139"/>
        <v>0</v>
      </c>
      <c r="K159" s="2753">
        <f t="shared" si="139"/>
        <v>0</v>
      </c>
      <c r="L159" s="2246">
        <v>0</v>
      </c>
      <c r="M159" s="2751">
        <f t="shared" si="140"/>
        <v>0</v>
      </c>
      <c r="N159" s="2752">
        <f t="shared" si="140"/>
        <v>0</v>
      </c>
      <c r="O159" s="2752">
        <f t="shared" si="140"/>
        <v>0</v>
      </c>
      <c r="P159" s="2752">
        <f t="shared" si="140"/>
        <v>0</v>
      </c>
      <c r="Q159" s="2752">
        <f t="shared" si="140"/>
        <v>0</v>
      </c>
      <c r="R159" s="2753">
        <f t="shared" si="140"/>
        <v>0</v>
      </c>
      <c r="S159" s="2246">
        <v>0</v>
      </c>
      <c r="T159" s="2751">
        <f t="shared" si="141"/>
        <v>0</v>
      </c>
      <c r="U159" s="2752">
        <f t="shared" si="141"/>
        <v>0</v>
      </c>
      <c r="V159" s="2752">
        <f t="shared" si="141"/>
        <v>0</v>
      </c>
      <c r="W159" s="2752">
        <f t="shared" si="141"/>
        <v>0</v>
      </c>
      <c r="X159" s="2752">
        <f t="shared" si="141"/>
        <v>0</v>
      </c>
      <c r="Y159" s="2753">
        <f t="shared" si="141"/>
        <v>0</v>
      </c>
      <c r="Z159" s="1672"/>
      <c r="AA159" s="1703"/>
      <c r="AB159" s="1727"/>
    </row>
    <row r="160" spans="1:28" s="1643" customFormat="1">
      <c r="A160" s="1730">
        <v>10</v>
      </c>
      <c r="B160" s="1675">
        <v>2040201</v>
      </c>
      <c r="C160" s="1676">
        <v>0.02</v>
      </c>
      <c r="D160" s="1624" t="s">
        <v>1007</v>
      </c>
      <c r="E160" s="2246">
        <v>0</v>
      </c>
      <c r="F160" s="2751">
        <f t="shared" si="139"/>
        <v>0</v>
      </c>
      <c r="G160" s="2752">
        <f t="shared" si="139"/>
        <v>0</v>
      </c>
      <c r="H160" s="2752">
        <f t="shared" si="139"/>
        <v>0</v>
      </c>
      <c r="I160" s="2752">
        <f t="shared" si="139"/>
        <v>0</v>
      </c>
      <c r="J160" s="2752">
        <f t="shared" si="139"/>
        <v>0</v>
      </c>
      <c r="K160" s="2753">
        <f t="shared" si="139"/>
        <v>0</v>
      </c>
      <c r="L160" s="2246">
        <v>0</v>
      </c>
      <c r="M160" s="2751">
        <f t="shared" si="140"/>
        <v>0</v>
      </c>
      <c r="N160" s="2752">
        <f t="shared" si="140"/>
        <v>0</v>
      </c>
      <c r="O160" s="2752">
        <f t="shared" si="140"/>
        <v>0</v>
      </c>
      <c r="P160" s="2752">
        <f t="shared" si="140"/>
        <v>0</v>
      </c>
      <c r="Q160" s="2752">
        <f t="shared" si="140"/>
        <v>0</v>
      </c>
      <c r="R160" s="2753">
        <f t="shared" si="140"/>
        <v>0</v>
      </c>
      <c r="S160" s="2246">
        <v>0</v>
      </c>
      <c r="T160" s="2751">
        <f t="shared" si="141"/>
        <v>0</v>
      </c>
      <c r="U160" s="2752">
        <f t="shared" si="141"/>
        <v>0</v>
      </c>
      <c r="V160" s="2752">
        <f t="shared" si="141"/>
        <v>0</v>
      </c>
      <c r="W160" s="2752">
        <f t="shared" si="141"/>
        <v>0</v>
      </c>
      <c r="X160" s="2752">
        <f t="shared" si="141"/>
        <v>0</v>
      </c>
      <c r="Y160" s="2753">
        <f t="shared" si="141"/>
        <v>0</v>
      </c>
      <c r="Z160" s="1672"/>
      <c r="AA160" s="1703"/>
      <c r="AB160" s="1727"/>
    </row>
    <row r="161" spans="1:28" s="1643" customFormat="1">
      <c r="A161" s="1730">
        <v>11</v>
      </c>
      <c r="B161" s="1675">
        <v>2040202</v>
      </c>
      <c r="C161" s="1676">
        <v>0.02</v>
      </c>
      <c r="D161" s="1624" t="s">
        <v>1008</v>
      </c>
      <c r="E161" s="2246">
        <v>0</v>
      </c>
      <c r="F161" s="2751">
        <f t="shared" si="139"/>
        <v>3.5000000000000004</v>
      </c>
      <c r="G161" s="2752">
        <f t="shared" si="139"/>
        <v>7.0000000000000009</v>
      </c>
      <c r="H161" s="2752">
        <f t="shared" si="139"/>
        <v>10.500000000000002</v>
      </c>
      <c r="I161" s="2752">
        <f t="shared" si="139"/>
        <v>14.000000000000002</v>
      </c>
      <c r="J161" s="2752">
        <f t="shared" si="139"/>
        <v>17.500000000000004</v>
      </c>
      <c r="K161" s="2753">
        <f t="shared" si="139"/>
        <v>21.000000000000004</v>
      </c>
      <c r="L161" s="2246">
        <v>0</v>
      </c>
      <c r="M161" s="2751">
        <f t="shared" si="140"/>
        <v>0</v>
      </c>
      <c r="N161" s="2752">
        <f t="shared" si="140"/>
        <v>0</v>
      </c>
      <c r="O161" s="2752">
        <f t="shared" si="140"/>
        <v>0</v>
      </c>
      <c r="P161" s="2752">
        <f t="shared" si="140"/>
        <v>0</v>
      </c>
      <c r="Q161" s="2752">
        <f t="shared" si="140"/>
        <v>0</v>
      </c>
      <c r="R161" s="2753">
        <f t="shared" si="140"/>
        <v>0</v>
      </c>
      <c r="S161" s="2246">
        <v>0</v>
      </c>
      <c r="T161" s="2751">
        <f t="shared" si="141"/>
        <v>0</v>
      </c>
      <c r="U161" s="2752">
        <f t="shared" si="141"/>
        <v>0</v>
      </c>
      <c r="V161" s="2752">
        <f t="shared" si="141"/>
        <v>0</v>
      </c>
      <c r="W161" s="2752">
        <f t="shared" si="141"/>
        <v>0</v>
      </c>
      <c r="X161" s="2752">
        <f t="shared" si="141"/>
        <v>0</v>
      </c>
      <c r="Y161" s="2753">
        <f t="shared" si="141"/>
        <v>0</v>
      </c>
      <c r="Z161" s="1672"/>
      <c r="AA161" s="1703"/>
      <c r="AB161" s="1727"/>
    </row>
    <row r="162" spans="1:28" s="1643" customFormat="1">
      <c r="A162" s="1730">
        <v>12</v>
      </c>
      <c r="B162" s="1675">
        <v>2040203</v>
      </c>
      <c r="C162" s="1676">
        <v>0.02</v>
      </c>
      <c r="D162" s="1624" t="s">
        <v>590</v>
      </c>
      <c r="E162" s="2246">
        <v>0</v>
      </c>
      <c r="F162" s="2751">
        <f t="shared" si="139"/>
        <v>0.42</v>
      </c>
      <c r="G162" s="2752">
        <f t="shared" si="139"/>
        <v>0.84</v>
      </c>
      <c r="H162" s="2752">
        <f t="shared" si="139"/>
        <v>1.26</v>
      </c>
      <c r="I162" s="2752">
        <f t="shared" si="139"/>
        <v>1.68</v>
      </c>
      <c r="J162" s="2752">
        <f t="shared" si="139"/>
        <v>2.1</v>
      </c>
      <c r="K162" s="2753">
        <f t="shared" si="139"/>
        <v>2.52</v>
      </c>
      <c r="L162" s="2246">
        <v>0</v>
      </c>
      <c r="M162" s="2751">
        <f t="shared" si="140"/>
        <v>0</v>
      </c>
      <c r="N162" s="2752">
        <f t="shared" si="140"/>
        <v>0</v>
      </c>
      <c r="O162" s="2752">
        <f t="shared" si="140"/>
        <v>0</v>
      </c>
      <c r="P162" s="2752">
        <f t="shared" si="140"/>
        <v>0</v>
      </c>
      <c r="Q162" s="2752">
        <f t="shared" si="140"/>
        <v>0</v>
      </c>
      <c r="R162" s="2753">
        <f t="shared" si="140"/>
        <v>0</v>
      </c>
      <c r="S162" s="2246">
        <v>0</v>
      </c>
      <c r="T162" s="2751">
        <f t="shared" si="141"/>
        <v>0</v>
      </c>
      <c r="U162" s="2752">
        <f t="shared" si="141"/>
        <v>0</v>
      </c>
      <c r="V162" s="2752">
        <f t="shared" si="141"/>
        <v>0</v>
      </c>
      <c r="W162" s="2752">
        <f t="shared" si="141"/>
        <v>0</v>
      </c>
      <c r="X162" s="2752">
        <f t="shared" si="141"/>
        <v>0</v>
      </c>
      <c r="Y162" s="2753">
        <f t="shared" si="141"/>
        <v>0</v>
      </c>
      <c r="Z162" s="1672"/>
      <c r="AA162" s="1703"/>
      <c r="AB162" s="1727"/>
    </row>
    <row r="163" spans="1:28" s="1643" customFormat="1">
      <c r="A163" s="1730">
        <v>13</v>
      </c>
      <c r="B163" s="1675">
        <v>2040204</v>
      </c>
      <c r="C163" s="1676">
        <v>0.02</v>
      </c>
      <c r="D163" s="1638" t="s">
        <v>591</v>
      </c>
      <c r="E163" s="2246">
        <v>0</v>
      </c>
      <c r="F163" s="2751">
        <f t="shared" si="139"/>
        <v>0</v>
      </c>
      <c r="G163" s="2752">
        <f t="shared" si="139"/>
        <v>0.1</v>
      </c>
      <c r="H163" s="2752">
        <f t="shared" si="139"/>
        <v>0.4</v>
      </c>
      <c r="I163" s="2752">
        <f t="shared" si="139"/>
        <v>0.9</v>
      </c>
      <c r="J163" s="2752">
        <f t="shared" si="139"/>
        <v>1.6</v>
      </c>
      <c r="K163" s="2753">
        <f t="shared" si="139"/>
        <v>2.5</v>
      </c>
      <c r="L163" s="2246">
        <v>0</v>
      </c>
      <c r="M163" s="2751">
        <f t="shared" si="140"/>
        <v>0</v>
      </c>
      <c r="N163" s="2752">
        <f t="shared" si="140"/>
        <v>0</v>
      </c>
      <c r="O163" s="2752">
        <f t="shared" si="140"/>
        <v>0</v>
      </c>
      <c r="P163" s="2752">
        <f t="shared" si="140"/>
        <v>0</v>
      </c>
      <c r="Q163" s="2752">
        <f t="shared" si="140"/>
        <v>0</v>
      </c>
      <c r="R163" s="2753">
        <f t="shared" si="140"/>
        <v>0</v>
      </c>
      <c r="S163" s="2246">
        <v>0</v>
      </c>
      <c r="T163" s="2751">
        <f t="shared" si="141"/>
        <v>0</v>
      </c>
      <c r="U163" s="2752">
        <f t="shared" si="141"/>
        <v>0</v>
      </c>
      <c r="V163" s="2752">
        <f t="shared" si="141"/>
        <v>0</v>
      </c>
      <c r="W163" s="2752">
        <f t="shared" si="141"/>
        <v>0</v>
      </c>
      <c r="X163" s="2752">
        <f t="shared" si="141"/>
        <v>0</v>
      </c>
      <c r="Y163" s="2753">
        <f t="shared" si="141"/>
        <v>0</v>
      </c>
      <c r="Z163" s="1672"/>
      <c r="AA163" s="1703"/>
      <c r="AB163" s="1727"/>
    </row>
    <row r="164" spans="1:28" s="1643" customFormat="1">
      <c r="A164" s="1730">
        <v>14</v>
      </c>
      <c r="B164" s="1675">
        <v>2040205</v>
      </c>
      <c r="C164" s="1676">
        <v>0.02</v>
      </c>
      <c r="D164" s="1624" t="s">
        <v>592</v>
      </c>
      <c r="E164" s="2246">
        <v>0</v>
      </c>
      <c r="F164" s="2751">
        <f t="shared" si="139"/>
        <v>28.520000000000003</v>
      </c>
      <c r="G164" s="2752">
        <f t="shared" si="139"/>
        <v>72.599999999999994</v>
      </c>
      <c r="H164" s="2752">
        <f t="shared" si="139"/>
        <v>126.08</v>
      </c>
      <c r="I164" s="2752">
        <f t="shared" si="139"/>
        <v>188.06</v>
      </c>
      <c r="J164" s="2752">
        <f t="shared" si="139"/>
        <v>258.44</v>
      </c>
      <c r="K164" s="2753">
        <f t="shared" si="139"/>
        <v>337.32</v>
      </c>
      <c r="L164" s="2246">
        <v>0</v>
      </c>
      <c r="M164" s="2751">
        <f t="shared" si="140"/>
        <v>0</v>
      </c>
      <c r="N164" s="2752">
        <f t="shared" si="140"/>
        <v>0</v>
      </c>
      <c r="O164" s="2752">
        <f t="shared" si="140"/>
        <v>0</v>
      </c>
      <c r="P164" s="2752">
        <f t="shared" si="140"/>
        <v>0</v>
      </c>
      <c r="Q164" s="2752">
        <f t="shared" si="140"/>
        <v>0</v>
      </c>
      <c r="R164" s="2753">
        <f t="shared" si="140"/>
        <v>0</v>
      </c>
      <c r="S164" s="2246">
        <v>0</v>
      </c>
      <c r="T164" s="2751">
        <f t="shared" si="141"/>
        <v>0</v>
      </c>
      <c r="U164" s="2752">
        <f t="shared" si="141"/>
        <v>0</v>
      </c>
      <c r="V164" s="2752">
        <f t="shared" si="141"/>
        <v>0</v>
      </c>
      <c r="W164" s="2752">
        <f t="shared" si="141"/>
        <v>0</v>
      </c>
      <c r="X164" s="2752">
        <f t="shared" si="141"/>
        <v>0</v>
      </c>
      <c r="Y164" s="2753">
        <f t="shared" si="141"/>
        <v>0</v>
      </c>
      <c r="Z164" s="1672"/>
      <c r="AA164" s="1703"/>
      <c r="AB164" s="1727"/>
    </row>
    <row r="165" spans="1:28" s="1643" customFormat="1">
      <c r="A165" s="1730">
        <v>15</v>
      </c>
      <c r="B165" s="1675">
        <v>2040206</v>
      </c>
      <c r="C165" s="1676">
        <v>0.02</v>
      </c>
      <c r="D165" s="1626" t="s">
        <v>593</v>
      </c>
      <c r="E165" s="2246">
        <v>0</v>
      </c>
      <c r="F165" s="2751">
        <f t="shared" si="139"/>
        <v>0</v>
      </c>
      <c r="G165" s="2752">
        <f t="shared" si="139"/>
        <v>0</v>
      </c>
      <c r="H165" s="2752">
        <f t="shared" si="139"/>
        <v>0</v>
      </c>
      <c r="I165" s="2752">
        <f t="shared" si="139"/>
        <v>0</v>
      </c>
      <c r="J165" s="2752">
        <f t="shared" si="139"/>
        <v>0</v>
      </c>
      <c r="K165" s="2753">
        <f t="shared" si="139"/>
        <v>0</v>
      </c>
      <c r="L165" s="2246">
        <v>0</v>
      </c>
      <c r="M165" s="2751">
        <f t="shared" si="140"/>
        <v>0.63</v>
      </c>
      <c r="N165" s="2752">
        <f t="shared" si="140"/>
        <v>2.2400000000000002</v>
      </c>
      <c r="O165" s="2752">
        <f t="shared" si="140"/>
        <v>4.66</v>
      </c>
      <c r="P165" s="2752">
        <f t="shared" si="140"/>
        <v>8.18</v>
      </c>
      <c r="Q165" s="2752">
        <f t="shared" si="140"/>
        <v>13.030000000000001</v>
      </c>
      <c r="R165" s="2753">
        <f t="shared" si="140"/>
        <v>18.920000000000002</v>
      </c>
      <c r="S165" s="2246">
        <v>0</v>
      </c>
      <c r="T165" s="2751">
        <f t="shared" si="141"/>
        <v>0</v>
      </c>
      <c r="U165" s="2752">
        <f t="shared" si="141"/>
        <v>0</v>
      </c>
      <c r="V165" s="2752">
        <f t="shared" si="141"/>
        <v>0</v>
      </c>
      <c r="W165" s="2752">
        <f t="shared" si="141"/>
        <v>0</v>
      </c>
      <c r="X165" s="2752">
        <f t="shared" si="141"/>
        <v>0</v>
      </c>
      <c r="Y165" s="2753">
        <f t="shared" si="141"/>
        <v>0</v>
      </c>
      <c r="Z165" s="1672"/>
      <c r="AA165" s="1703"/>
      <c r="AB165" s="1727"/>
    </row>
    <row r="166" spans="1:28" s="1643" customFormat="1" ht="24">
      <c r="A166" s="1730">
        <v>16</v>
      </c>
      <c r="B166" s="1675">
        <v>2040207</v>
      </c>
      <c r="C166" s="1676">
        <v>0.04</v>
      </c>
      <c r="D166" s="1626" t="s">
        <v>594</v>
      </c>
      <c r="E166" s="2246">
        <v>0</v>
      </c>
      <c r="F166" s="2751">
        <f t="shared" si="139"/>
        <v>5.54</v>
      </c>
      <c r="G166" s="2752">
        <f t="shared" si="139"/>
        <v>18.62</v>
      </c>
      <c r="H166" s="2752">
        <f t="shared" si="139"/>
        <v>35.6</v>
      </c>
      <c r="I166" s="2752">
        <f t="shared" si="139"/>
        <v>56.480000000000004</v>
      </c>
      <c r="J166" s="2752">
        <f t="shared" si="139"/>
        <v>81.16</v>
      </c>
      <c r="K166" s="2753">
        <f t="shared" si="139"/>
        <v>109.34</v>
      </c>
      <c r="L166" s="2246">
        <v>0</v>
      </c>
      <c r="M166" s="2751">
        <f t="shared" si="140"/>
        <v>0</v>
      </c>
      <c r="N166" s="2752">
        <f t="shared" si="140"/>
        <v>0</v>
      </c>
      <c r="O166" s="2752">
        <f t="shared" si="140"/>
        <v>0</v>
      </c>
      <c r="P166" s="2752">
        <f t="shared" si="140"/>
        <v>0</v>
      </c>
      <c r="Q166" s="2752">
        <f t="shared" si="140"/>
        <v>0</v>
      </c>
      <c r="R166" s="2753">
        <f t="shared" si="140"/>
        <v>0</v>
      </c>
      <c r="S166" s="2246">
        <v>0</v>
      </c>
      <c r="T166" s="2751">
        <f t="shared" si="141"/>
        <v>0</v>
      </c>
      <c r="U166" s="2752">
        <f t="shared" si="141"/>
        <v>0.78</v>
      </c>
      <c r="V166" s="2752">
        <f t="shared" si="141"/>
        <v>3.0200000000000005</v>
      </c>
      <c r="W166" s="2752">
        <f t="shared" si="141"/>
        <v>6.86</v>
      </c>
      <c r="X166" s="2752">
        <f t="shared" si="141"/>
        <v>12.24</v>
      </c>
      <c r="Y166" s="2753">
        <f t="shared" si="141"/>
        <v>19.060000000000002</v>
      </c>
      <c r="Z166" s="1672"/>
      <c r="AA166" s="1703"/>
      <c r="AB166" s="1727"/>
    </row>
    <row r="167" spans="1:28" s="1643" customFormat="1">
      <c r="A167" s="1730">
        <v>17</v>
      </c>
      <c r="B167" s="1675">
        <v>2040208</v>
      </c>
      <c r="C167" s="1676">
        <v>0.04</v>
      </c>
      <c r="D167" s="1626" t="s">
        <v>595</v>
      </c>
      <c r="E167" s="2246">
        <v>0</v>
      </c>
      <c r="F167" s="2751">
        <f t="shared" si="139"/>
        <v>0.64</v>
      </c>
      <c r="G167" s="2752">
        <f t="shared" si="139"/>
        <v>1.28</v>
      </c>
      <c r="H167" s="2752">
        <f t="shared" si="139"/>
        <v>1.92</v>
      </c>
      <c r="I167" s="2752">
        <f t="shared" si="139"/>
        <v>2.56</v>
      </c>
      <c r="J167" s="2752">
        <f t="shared" si="139"/>
        <v>3.2</v>
      </c>
      <c r="K167" s="2753">
        <f t="shared" si="139"/>
        <v>3.8400000000000003</v>
      </c>
      <c r="L167" s="2246">
        <v>0</v>
      </c>
      <c r="M167" s="2751">
        <f t="shared" si="140"/>
        <v>0</v>
      </c>
      <c r="N167" s="2752">
        <f t="shared" si="140"/>
        <v>0</v>
      </c>
      <c r="O167" s="2752">
        <f t="shared" si="140"/>
        <v>0</v>
      </c>
      <c r="P167" s="2752">
        <f t="shared" si="140"/>
        <v>0</v>
      </c>
      <c r="Q167" s="2752">
        <f t="shared" si="140"/>
        <v>0</v>
      </c>
      <c r="R167" s="2753">
        <f t="shared" si="140"/>
        <v>0</v>
      </c>
      <c r="S167" s="2246">
        <v>0</v>
      </c>
      <c r="T167" s="2751">
        <f t="shared" si="141"/>
        <v>0</v>
      </c>
      <c r="U167" s="2752">
        <f t="shared" si="141"/>
        <v>0</v>
      </c>
      <c r="V167" s="2752">
        <f t="shared" si="141"/>
        <v>0</v>
      </c>
      <c r="W167" s="2752">
        <f t="shared" si="141"/>
        <v>0</v>
      </c>
      <c r="X167" s="2752">
        <f t="shared" si="141"/>
        <v>0</v>
      </c>
      <c r="Y167" s="2753">
        <f t="shared" si="141"/>
        <v>0</v>
      </c>
      <c r="Z167" s="1672"/>
      <c r="AA167" s="1703"/>
      <c r="AB167" s="1727"/>
    </row>
    <row r="168" spans="1:28" s="1643" customFormat="1">
      <c r="A168" s="1730">
        <v>18</v>
      </c>
      <c r="B168" s="1833" t="s">
        <v>1525</v>
      </c>
      <c r="C168" s="1676">
        <v>0.04</v>
      </c>
      <c r="D168" s="1728" t="s">
        <v>606</v>
      </c>
      <c r="E168" s="2246">
        <v>0</v>
      </c>
      <c r="F168" s="2751">
        <f t="shared" si="139"/>
        <v>0</v>
      </c>
      <c r="G168" s="2752">
        <f t="shared" si="139"/>
        <v>0</v>
      </c>
      <c r="H168" s="2752">
        <f t="shared" si="139"/>
        <v>0</v>
      </c>
      <c r="I168" s="2752">
        <f t="shared" si="139"/>
        <v>0</v>
      </c>
      <c r="J168" s="2752">
        <f t="shared" si="139"/>
        <v>0</v>
      </c>
      <c r="K168" s="2753">
        <f t="shared" si="139"/>
        <v>0</v>
      </c>
      <c r="L168" s="2246">
        <v>0</v>
      </c>
      <c r="M168" s="2751">
        <f t="shared" si="140"/>
        <v>0</v>
      </c>
      <c r="N168" s="2752">
        <f t="shared" si="140"/>
        <v>0</v>
      </c>
      <c r="O168" s="2752">
        <f t="shared" si="140"/>
        <v>0</v>
      </c>
      <c r="P168" s="2752">
        <f t="shared" si="140"/>
        <v>0</v>
      </c>
      <c r="Q168" s="2752">
        <f t="shared" si="140"/>
        <v>0</v>
      </c>
      <c r="R168" s="2753">
        <f t="shared" si="140"/>
        <v>0</v>
      </c>
      <c r="S168" s="2246">
        <v>0</v>
      </c>
      <c r="T168" s="2751">
        <f t="shared" si="141"/>
        <v>0</v>
      </c>
      <c r="U168" s="2752">
        <f t="shared" si="141"/>
        <v>0</v>
      </c>
      <c r="V168" s="2752">
        <f t="shared" si="141"/>
        <v>0</v>
      </c>
      <c r="W168" s="2752">
        <f t="shared" si="141"/>
        <v>0</v>
      </c>
      <c r="X168" s="2752">
        <f t="shared" si="141"/>
        <v>0</v>
      </c>
      <c r="Y168" s="2753">
        <f t="shared" si="141"/>
        <v>0</v>
      </c>
      <c r="Z168" s="1672"/>
      <c r="AA168" s="1703"/>
      <c r="AB168" s="1727"/>
    </row>
    <row r="169" spans="1:28" s="1643" customFormat="1" ht="24.75" thickBot="1">
      <c r="A169" s="1730">
        <v>19</v>
      </c>
      <c r="B169" s="1675">
        <v>215</v>
      </c>
      <c r="C169" s="1680">
        <v>0.2</v>
      </c>
      <c r="D169" s="1626" t="s">
        <v>911</v>
      </c>
      <c r="E169" s="2246">
        <v>0</v>
      </c>
      <c r="F169" s="2754">
        <f t="shared" si="139"/>
        <v>0</v>
      </c>
      <c r="G169" s="2755">
        <f t="shared" si="139"/>
        <v>0</v>
      </c>
      <c r="H169" s="2755">
        <f t="shared" si="139"/>
        <v>0</v>
      </c>
      <c r="I169" s="2755">
        <f t="shared" si="139"/>
        <v>0</v>
      </c>
      <c r="J169" s="2755">
        <f t="shared" si="139"/>
        <v>0</v>
      </c>
      <c r="K169" s="2756">
        <f t="shared" si="139"/>
        <v>0</v>
      </c>
      <c r="L169" s="2246">
        <v>0</v>
      </c>
      <c r="M169" s="2754">
        <f t="shared" si="140"/>
        <v>0</v>
      </c>
      <c r="N169" s="2755">
        <f t="shared" si="140"/>
        <v>0</v>
      </c>
      <c r="O169" s="2755">
        <f t="shared" si="140"/>
        <v>0</v>
      </c>
      <c r="P169" s="2755">
        <f t="shared" si="140"/>
        <v>0</v>
      </c>
      <c r="Q169" s="2755">
        <f t="shared" si="140"/>
        <v>0</v>
      </c>
      <c r="R169" s="2756">
        <f t="shared" si="140"/>
        <v>0</v>
      </c>
      <c r="S169" s="2246">
        <v>0</v>
      </c>
      <c r="T169" s="2754">
        <f t="shared" si="141"/>
        <v>0</v>
      </c>
      <c r="U169" s="2755">
        <f t="shared" si="141"/>
        <v>0</v>
      </c>
      <c r="V169" s="2755">
        <f t="shared" si="141"/>
        <v>0</v>
      </c>
      <c r="W169" s="2755">
        <f t="shared" si="141"/>
        <v>0</v>
      </c>
      <c r="X169" s="2755">
        <f t="shared" si="141"/>
        <v>0</v>
      </c>
      <c r="Y169" s="2756">
        <f t="shared" si="141"/>
        <v>0</v>
      </c>
      <c r="Z169" s="1672"/>
      <c r="AA169" s="1703"/>
      <c r="AB169" s="1727"/>
    </row>
    <row r="170" spans="1:28" s="1643" customFormat="1" ht="13.5" thickBot="1">
      <c r="A170" s="1695" t="s">
        <v>284</v>
      </c>
      <c r="B170" s="1696"/>
      <c r="C170" s="1696"/>
      <c r="D170" s="246" t="s">
        <v>285</v>
      </c>
      <c r="E170" s="2762">
        <f t="shared" ref="E170:Y170" si="142">SUM(E171:E189)</f>
        <v>0</v>
      </c>
      <c r="F170" s="2757">
        <f t="shared" si="142"/>
        <v>1969.11</v>
      </c>
      <c r="G170" s="1093">
        <f t="shared" si="142"/>
        <v>2577.12</v>
      </c>
      <c r="H170" s="1093">
        <f t="shared" si="142"/>
        <v>3121.18</v>
      </c>
      <c r="I170" s="2075">
        <f t="shared" si="142"/>
        <v>3572.34</v>
      </c>
      <c r="J170" s="1093">
        <f t="shared" si="142"/>
        <v>4007.8</v>
      </c>
      <c r="K170" s="1093">
        <f t="shared" si="142"/>
        <v>4364.76</v>
      </c>
      <c r="L170" s="2762">
        <f t="shared" si="142"/>
        <v>0</v>
      </c>
      <c r="M170" s="2757">
        <f t="shared" si="142"/>
        <v>54.37</v>
      </c>
      <c r="N170" s="1093">
        <f t="shared" si="142"/>
        <v>95.76</v>
      </c>
      <c r="O170" s="1093">
        <f t="shared" si="142"/>
        <v>131.34</v>
      </c>
      <c r="P170" s="2075">
        <f t="shared" si="142"/>
        <v>199.82</v>
      </c>
      <c r="Q170" s="1093">
        <f t="shared" si="142"/>
        <v>255.97</v>
      </c>
      <c r="R170" s="1093">
        <f t="shared" si="142"/>
        <v>293.08</v>
      </c>
      <c r="S170" s="2762">
        <f t="shared" si="142"/>
        <v>0</v>
      </c>
      <c r="T170" s="2757">
        <f t="shared" si="142"/>
        <v>0</v>
      </c>
      <c r="U170" s="1093">
        <f t="shared" si="142"/>
        <v>38.22</v>
      </c>
      <c r="V170" s="1093">
        <f t="shared" si="142"/>
        <v>69.98</v>
      </c>
      <c r="W170" s="2075">
        <f t="shared" si="142"/>
        <v>112.14</v>
      </c>
      <c r="X170" s="1093">
        <f t="shared" si="142"/>
        <v>137.76</v>
      </c>
      <c r="Y170" s="1095">
        <f t="shared" si="142"/>
        <v>171.94</v>
      </c>
      <c r="Z170" s="1667"/>
      <c r="AA170" s="1703"/>
      <c r="AB170" s="1727"/>
    </row>
    <row r="171" spans="1:28" s="1643" customFormat="1">
      <c r="A171" s="1674">
        <v>1</v>
      </c>
      <c r="B171" s="1669">
        <v>20102</v>
      </c>
      <c r="C171" s="1691">
        <v>0</v>
      </c>
      <c r="D171" s="280" t="s">
        <v>760</v>
      </c>
      <c r="E171" s="2788">
        <f>E111-E151</f>
        <v>0</v>
      </c>
      <c r="F171" s="2748">
        <f t="shared" ref="F171:L186" si="143">F111-F151</f>
        <v>0</v>
      </c>
      <c r="G171" s="2749">
        <f t="shared" si="143"/>
        <v>0</v>
      </c>
      <c r="H171" s="2749">
        <f t="shared" si="143"/>
        <v>0</v>
      </c>
      <c r="I171" s="2749">
        <f t="shared" si="143"/>
        <v>0</v>
      </c>
      <c r="J171" s="2749">
        <f t="shared" si="143"/>
        <v>0</v>
      </c>
      <c r="K171" s="2750">
        <f t="shared" si="143"/>
        <v>0</v>
      </c>
      <c r="L171" s="2788">
        <f>L111-L151</f>
        <v>0</v>
      </c>
      <c r="M171" s="2748">
        <f t="shared" ref="M171:S186" si="144">M111-M151</f>
        <v>0</v>
      </c>
      <c r="N171" s="2749">
        <f t="shared" si="144"/>
        <v>0</v>
      </c>
      <c r="O171" s="2749">
        <f t="shared" si="144"/>
        <v>0</v>
      </c>
      <c r="P171" s="2749">
        <f t="shared" si="144"/>
        <v>0</v>
      </c>
      <c r="Q171" s="2749">
        <f t="shared" si="144"/>
        <v>0</v>
      </c>
      <c r="R171" s="2750">
        <f t="shared" si="144"/>
        <v>0</v>
      </c>
      <c r="S171" s="2788">
        <f>S111-S151</f>
        <v>0</v>
      </c>
      <c r="T171" s="2748">
        <f t="shared" ref="T171:Y180" si="145">T111-T151</f>
        <v>0</v>
      </c>
      <c r="U171" s="2749">
        <f t="shared" si="145"/>
        <v>0</v>
      </c>
      <c r="V171" s="2749">
        <f t="shared" si="145"/>
        <v>0</v>
      </c>
      <c r="W171" s="2749">
        <f t="shared" si="145"/>
        <v>0</v>
      </c>
      <c r="X171" s="2749">
        <f t="shared" si="145"/>
        <v>0</v>
      </c>
      <c r="Y171" s="2750">
        <f t="shared" si="145"/>
        <v>0</v>
      </c>
      <c r="Z171" s="1672"/>
      <c r="AA171" s="1703"/>
      <c r="AB171" s="1727"/>
    </row>
    <row r="172" spans="1:28" s="1643" customFormat="1">
      <c r="A172" s="1674">
        <v>2</v>
      </c>
      <c r="B172" s="1675">
        <v>20202</v>
      </c>
      <c r="C172" s="1676">
        <v>0.03</v>
      </c>
      <c r="D172" s="1728" t="s">
        <v>598</v>
      </c>
      <c r="E172" s="2789">
        <f>E112-E152</f>
        <v>0</v>
      </c>
      <c r="F172" s="2751">
        <f t="shared" si="143"/>
        <v>-1.21</v>
      </c>
      <c r="G172" s="2752">
        <f t="shared" si="143"/>
        <v>17.28</v>
      </c>
      <c r="H172" s="2752">
        <f t="shared" si="143"/>
        <v>25.32</v>
      </c>
      <c r="I172" s="2752">
        <f t="shared" si="143"/>
        <v>33.06</v>
      </c>
      <c r="J172" s="2752">
        <f t="shared" si="143"/>
        <v>40.5</v>
      </c>
      <c r="K172" s="2753">
        <f t="shared" si="143"/>
        <v>47.64</v>
      </c>
      <c r="L172" s="2789">
        <f>L112-L152</f>
        <v>0</v>
      </c>
      <c r="M172" s="2751">
        <f t="shared" si="144"/>
        <v>0</v>
      </c>
      <c r="N172" s="2752">
        <f t="shared" si="144"/>
        <v>0</v>
      </c>
      <c r="O172" s="2752">
        <f t="shared" si="144"/>
        <v>0</v>
      </c>
      <c r="P172" s="2752">
        <f t="shared" si="144"/>
        <v>0</v>
      </c>
      <c r="Q172" s="2752">
        <f t="shared" si="144"/>
        <v>0</v>
      </c>
      <c r="R172" s="2753">
        <f t="shared" si="144"/>
        <v>0</v>
      </c>
      <c r="S172" s="2789">
        <f>S112-S152</f>
        <v>0</v>
      </c>
      <c r="T172" s="2751">
        <f t="shared" si="145"/>
        <v>0</v>
      </c>
      <c r="U172" s="2752">
        <f t="shared" si="145"/>
        <v>0</v>
      </c>
      <c r="V172" s="2752">
        <f t="shared" si="145"/>
        <v>0</v>
      </c>
      <c r="W172" s="2752">
        <f t="shared" si="145"/>
        <v>0</v>
      </c>
      <c r="X172" s="2752">
        <f t="shared" si="145"/>
        <v>0</v>
      </c>
      <c r="Y172" s="2753">
        <f t="shared" si="145"/>
        <v>0</v>
      </c>
      <c r="Z172" s="1672"/>
      <c r="AA172" s="1703"/>
      <c r="AB172" s="1727"/>
    </row>
    <row r="173" spans="1:28" s="1643" customFormat="1">
      <c r="A173" s="1674">
        <v>3</v>
      </c>
      <c r="B173" s="1675">
        <v>2030401</v>
      </c>
      <c r="C173" s="1680">
        <v>0.1</v>
      </c>
      <c r="D173" s="1626" t="s">
        <v>1470</v>
      </c>
      <c r="E173" s="2789">
        <f t="shared" ref="E173:E189" si="146">E113-E153</f>
        <v>0</v>
      </c>
      <c r="F173" s="2751">
        <f t="shared" si="143"/>
        <v>-3.4</v>
      </c>
      <c r="G173" s="2752">
        <f t="shared" si="143"/>
        <v>-6.8</v>
      </c>
      <c r="H173" s="2752">
        <f t="shared" si="143"/>
        <v>-10.199999999999999</v>
      </c>
      <c r="I173" s="2752">
        <f t="shared" si="143"/>
        <v>-13.6</v>
      </c>
      <c r="J173" s="2752">
        <f t="shared" si="143"/>
        <v>-17</v>
      </c>
      <c r="K173" s="2753">
        <f t="shared" si="143"/>
        <v>-20.399999999999999</v>
      </c>
      <c r="L173" s="2789">
        <f t="shared" si="143"/>
        <v>0</v>
      </c>
      <c r="M173" s="2751">
        <f t="shared" si="144"/>
        <v>0</v>
      </c>
      <c r="N173" s="2752">
        <f t="shared" si="144"/>
        <v>0</v>
      </c>
      <c r="O173" s="2752">
        <f t="shared" si="144"/>
        <v>0</v>
      </c>
      <c r="P173" s="2752">
        <f t="shared" si="144"/>
        <v>0</v>
      </c>
      <c r="Q173" s="2752">
        <f t="shared" si="144"/>
        <v>0</v>
      </c>
      <c r="R173" s="2753">
        <f t="shared" si="144"/>
        <v>0</v>
      </c>
      <c r="S173" s="2789">
        <f t="shared" si="144"/>
        <v>0</v>
      </c>
      <c r="T173" s="2751">
        <f t="shared" si="145"/>
        <v>0</v>
      </c>
      <c r="U173" s="2752">
        <f t="shared" si="145"/>
        <v>0</v>
      </c>
      <c r="V173" s="2752">
        <f t="shared" si="145"/>
        <v>0</v>
      </c>
      <c r="W173" s="2752">
        <f t="shared" si="145"/>
        <v>0</v>
      </c>
      <c r="X173" s="2752">
        <f t="shared" si="145"/>
        <v>0</v>
      </c>
      <c r="Y173" s="2753">
        <f t="shared" si="145"/>
        <v>0</v>
      </c>
      <c r="Z173" s="1672"/>
      <c r="AA173" s="1703"/>
      <c r="AB173" s="1727"/>
    </row>
    <row r="174" spans="1:28" s="1643" customFormat="1">
      <c r="A174" s="1674">
        <v>4</v>
      </c>
      <c r="B174" s="1675">
        <v>2030402</v>
      </c>
      <c r="C174" s="1680">
        <v>0.1</v>
      </c>
      <c r="D174" s="1626" t="s">
        <v>601</v>
      </c>
      <c r="E174" s="2789">
        <f t="shared" si="146"/>
        <v>0</v>
      </c>
      <c r="F174" s="2751">
        <f t="shared" si="143"/>
        <v>0</v>
      </c>
      <c r="G174" s="2752">
        <f t="shared" si="143"/>
        <v>0</v>
      </c>
      <c r="H174" s="2752">
        <f t="shared" si="143"/>
        <v>0</v>
      </c>
      <c r="I174" s="2752">
        <f t="shared" si="143"/>
        <v>0</v>
      </c>
      <c r="J174" s="2752">
        <f t="shared" si="143"/>
        <v>0</v>
      </c>
      <c r="K174" s="2753">
        <f t="shared" si="143"/>
        <v>0</v>
      </c>
      <c r="L174" s="2789">
        <f t="shared" si="143"/>
        <v>0</v>
      </c>
      <c r="M174" s="2751">
        <f t="shared" si="144"/>
        <v>0</v>
      </c>
      <c r="N174" s="2752">
        <f t="shared" si="144"/>
        <v>0</v>
      </c>
      <c r="O174" s="2752">
        <f t="shared" si="144"/>
        <v>0</v>
      </c>
      <c r="P174" s="2752">
        <f t="shared" si="144"/>
        <v>0</v>
      </c>
      <c r="Q174" s="2752">
        <f t="shared" si="144"/>
        <v>0</v>
      </c>
      <c r="R174" s="2753">
        <f t="shared" si="144"/>
        <v>0</v>
      </c>
      <c r="S174" s="2789">
        <f t="shared" si="144"/>
        <v>0</v>
      </c>
      <c r="T174" s="2751">
        <f t="shared" si="145"/>
        <v>0</v>
      </c>
      <c r="U174" s="2752">
        <f t="shared" si="145"/>
        <v>0</v>
      </c>
      <c r="V174" s="2752">
        <f t="shared" si="145"/>
        <v>0</v>
      </c>
      <c r="W174" s="2752">
        <f t="shared" si="145"/>
        <v>0</v>
      </c>
      <c r="X174" s="2752">
        <f t="shared" si="145"/>
        <v>0</v>
      </c>
      <c r="Y174" s="2753">
        <f t="shared" si="145"/>
        <v>0</v>
      </c>
      <c r="Z174" s="1672"/>
      <c r="AA174" s="1703"/>
      <c r="AB174" s="1727"/>
    </row>
    <row r="175" spans="1:28" s="1643" customFormat="1">
      <c r="A175" s="1674">
        <v>5</v>
      </c>
      <c r="B175" s="1675">
        <v>2030501</v>
      </c>
      <c r="C175" s="1680">
        <v>0.1</v>
      </c>
      <c r="D175" s="1626" t="s">
        <v>580</v>
      </c>
      <c r="E175" s="2789">
        <f t="shared" si="146"/>
        <v>0</v>
      </c>
      <c r="F175" s="2751">
        <f t="shared" si="143"/>
        <v>223.84</v>
      </c>
      <c r="G175" s="2752">
        <f t="shared" si="143"/>
        <v>233.68</v>
      </c>
      <c r="H175" s="2752">
        <f t="shared" si="143"/>
        <v>258.52</v>
      </c>
      <c r="I175" s="2752">
        <f t="shared" si="143"/>
        <v>258.36</v>
      </c>
      <c r="J175" s="2752">
        <f t="shared" si="143"/>
        <v>254.20000000000002</v>
      </c>
      <c r="K175" s="2753">
        <f t="shared" si="143"/>
        <v>227.04000000000002</v>
      </c>
      <c r="L175" s="2789">
        <f t="shared" si="143"/>
        <v>0</v>
      </c>
      <c r="M175" s="2751">
        <f t="shared" si="144"/>
        <v>0</v>
      </c>
      <c r="N175" s="2752">
        <f t="shared" si="144"/>
        <v>0</v>
      </c>
      <c r="O175" s="2752">
        <f t="shared" si="144"/>
        <v>0</v>
      </c>
      <c r="P175" s="2752">
        <f t="shared" si="144"/>
        <v>0</v>
      </c>
      <c r="Q175" s="2752">
        <f t="shared" si="144"/>
        <v>0</v>
      </c>
      <c r="R175" s="2753">
        <f t="shared" si="144"/>
        <v>0</v>
      </c>
      <c r="S175" s="2789">
        <f t="shared" si="144"/>
        <v>0</v>
      </c>
      <c r="T175" s="2751">
        <f t="shared" si="145"/>
        <v>0</v>
      </c>
      <c r="U175" s="2752">
        <f t="shared" si="145"/>
        <v>0</v>
      </c>
      <c r="V175" s="2752">
        <f t="shared" si="145"/>
        <v>0</v>
      </c>
      <c r="W175" s="2752">
        <f t="shared" si="145"/>
        <v>0</v>
      </c>
      <c r="X175" s="2752">
        <f t="shared" si="145"/>
        <v>0</v>
      </c>
      <c r="Y175" s="2753">
        <f t="shared" si="145"/>
        <v>0</v>
      </c>
      <c r="Z175" s="1672"/>
      <c r="AA175" s="1703"/>
      <c r="AB175" s="1727"/>
    </row>
    <row r="176" spans="1:28" s="1643" customFormat="1" ht="24">
      <c r="A176" s="1674">
        <v>6</v>
      </c>
      <c r="B176" s="1675">
        <v>2030502</v>
      </c>
      <c r="C176" s="1680">
        <v>0.1</v>
      </c>
      <c r="D176" s="1626" t="s">
        <v>948</v>
      </c>
      <c r="E176" s="2789">
        <f t="shared" si="146"/>
        <v>0</v>
      </c>
      <c r="F176" s="2751">
        <f t="shared" si="143"/>
        <v>264.2</v>
      </c>
      <c r="G176" s="2752">
        <f t="shared" si="143"/>
        <v>291.39999999999998</v>
      </c>
      <c r="H176" s="2752">
        <f t="shared" si="143"/>
        <v>293.60000000000002</v>
      </c>
      <c r="I176" s="2752">
        <f t="shared" si="143"/>
        <v>310.8</v>
      </c>
      <c r="J176" s="2752">
        <f t="shared" si="143"/>
        <v>284</v>
      </c>
      <c r="K176" s="2753">
        <f t="shared" si="143"/>
        <v>274.2</v>
      </c>
      <c r="L176" s="2789">
        <f t="shared" si="143"/>
        <v>0</v>
      </c>
      <c r="M176" s="2751">
        <f t="shared" si="144"/>
        <v>0</v>
      </c>
      <c r="N176" s="2752">
        <f t="shared" si="144"/>
        <v>0</v>
      </c>
      <c r="O176" s="2752">
        <f t="shared" si="144"/>
        <v>0</v>
      </c>
      <c r="P176" s="2752">
        <f t="shared" si="144"/>
        <v>0</v>
      </c>
      <c r="Q176" s="2752">
        <f t="shared" si="144"/>
        <v>0</v>
      </c>
      <c r="R176" s="2753">
        <f t="shared" si="144"/>
        <v>0</v>
      </c>
      <c r="S176" s="2789">
        <f t="shared" si="144"/>
        <v>0</v>
      </c>
      <c r="T176" s="2751">
        <f t="shared" si="145"/>
        <v>0</v>
      </c>
      <c r="U176" s="2752">
        <f t="shared" si="145"/>
        <v>0</v>
      </c>
      <c r="V176" s="2752">
        <f t="shared" si="145"/>
        <v>0</v>
      </c>
      <c r="W176" s="2752">
        <f t="shared" si="145"/>
        <v>0</v>
      </c>
      <c r="X176" s="2752">
        <f t="shared" si="145"/>
        <v>0</v>
      </c>
      <c r="Y176" s="2753">
        <f t="shared" si="145"/>
        <v>0</v>
      </c>
      <c r="Z176" s="1672"/>
      <c r="AA176" s="1703"/>
      <c r="AB176" s="1727"/>
    </row>
    <row r="177" spans="1:28" s="1643" customFormat="1">
      <c r="A177" s="1674">
        <v>7</v>
      </c>
      <c r="B177" s="1675">
        <v>2030503</v>
      </c>
      <c r="C177" s="1680">
        <v>0.1</v>
      </c>
      <c r="D177" s="1626" t="s">
        <v>966</v>
      </c>
      <c r="E177" s="2789">
        <f t="shared" si="146"/>
        <v>0</v>
      </c>
      <c r="F177" s="2751">
        <f t="shared" si="143"/>
        <v>171.7</v>
      </c>
      <c r="G177" s="2752">
        <f t="shared" si="143"/>
        <v>199.8</v>
      </c>
      <c r="H177" s="2752">
        <f t="shared" si="143"/>
        <v>222.9</v>
      </c>
      <c r="I177" s="2752">
        <f t="shared" si="143"/>
        <v>241</v>
      </c>
      <c r="J177" s="2752">
        <f t="shared" si="143"/>
        <v>254.1</v>
      </c>
      <c r="K177" s="2753">
        <f t="shared" si="143"/>
        <v>262.2</v>
      </c>
      <c r="L177" s="2789">
        <f t="shared" si="143"/>
        <v>0</v>
      </c>
      <c r="M177" s="2751">
        <f t="shared" si="144"/>
        <v>0</v>
      </c>
      <c r="N177" s="2752">
        <f t="shared" si="144"/>
        <v>0</v>
      </c>
      <c r="O177" s="2752">
        <f t="shared" si="144"/>
        <v>0</v>
      </c>
      <c r="P177" s="2752">
        <f t="shared" si="144"/>
        <v>0</v>
      </c>
      <c r="Q177" s="2752">
        <f t="shared" si="144"/>
        <v>0</v>
      </c>
      <c r="R177" s="2753">
        <f t="shared" si="144"/>
        <v>0</v>
      </c>
      <c r="S177" s="2789">
        <f t="shared" si="144"/>
        <v>0</v>
      </c>
      <c r="T177" s="2751">
        <f t="shared" si="145"/>
        <v>0</v>
      </c>
      <c r="U177" s="2752">
        <f t="shared" si="145"/>
        <v>0</v>
      </c>
      <c r="V177" s="2752">
        <f t="shared" si="145"/>
        <v>0</v>
      </c>
      <c r="W177" s="2752">
        <f t="shared" si="145"/>
        <v>0</v>
      </c>
      <c r="X177" s="2752">
        <f t="shared" si="145"/>
        <v>0</v>
      </c>
      <c r="Y177" s="2753">
        <f t="shared" si="145"/>
        <v>0</v>
      </c>
      <c r="Z177" s="1672"/>
      <c r="AA177" s="1703"/>
      <c r="AB177" s="1727"/>
    </row>
    <row r="178" spans="1:28" s="1643" customFormat="1">
      <c r="A178" s="1674">
        <v>8</v>
      </c>
      <c r="B178" s="1675">
        <v>2040101</v>
      </c>
      <c r="C178" s="1729">
        <v>0.1</v>
      </c>
      <c r="D178" s="1638" t="s">
        <v>1442</v>
      </c>
      <c r="E178" s="2789">
        <f t="shared" si="146"/>
        <v>0</v>
      </c>
      <c r="F178" s="2751">
        <f t="shared" si="143"/>
        <v>-0.40000000000000008</v>
      </c>
      <c r="G178" s="2752">
        <f t="shared" si="143"/>
        <v>-0.80000000000000016</v>
      </c>
      <c r="H178" s="2752">
        <f t="shared" si="143"/>
        <v>-1.2000000000000002</v>
      </c>
      <c r="I178" s="2752">
        <f t="shared" si="143"/>
        <v>-1.6000000000000003</v>
      </c>
      <c r="J178" s="2752">
        <f t="shared" si="143"/>
        <v>-2.0000000000000004</v>
      </c>
      <c r="K178" s="2753">
        <f t="shared" si="143"/>
        <v>-2.4000000000000004</v>
      </c>
      <c r="L178" s="2789">
        <f t="shared" si="143"/>
        <v>0</v>
      </c>
      <c r="M178" s="2751">
        <f t="shared" si="144"/>
        <v>0</v>
      </c>
      <c r="N178" s="2752">
        <f t="shared" si="144"/>
        <v>0</v>
      </c>
      <c r="O178" s="2752">
        <f t="shared" si="144"/>
        <v>0</v>
      </c>
      <c r="P178" s="2752">
        <f t="shared" si="144"/>
        <v>0</v>
      </c>
      <c r="Q178" s="2752">
        <f t="shared" si="144"/>
        <v>0</v>
      </c>
      <c r="R178" s="2753">
        <f t="shared" si="144"/>
        <v>0</v>
      </c>
      <c r="S178" s="2789">
        <f t="shared" si="144"/>
        <v>0</v>
      </c>
      <c r="T178" s="2751">
        <f t="shared" si="145"/>
        <v>0</v>
      </c>
      <c r="U178" s="2752">
        <f t="shared" si="145"/>
        <v>0</v>
      </c>
      <c r="V178" s="2752">
        <f t="shared" si="145"/>
        <v>0</v>
      </c>
      <c r="W178" s="2752">
        <f t="shared" si="145"/>
        <v>0</v>
      </c>
      <c r="X178" s="2752">
        <f t="shared" si="145"/>
        <v>0</v>
      </c>
      <c r="Y178" s="2753">
        <f t="shared" si="145"/>
        <v>0</v>
      </c>
      <c r="Z178" s="1672"/>
      <c r="AA178" s="1703"/>
      <c r="AB178" s="1727"/>
    </row>
    <row r="179" spans="1:28" s="1643" customFormat="1">
      <c r="A179" s="1730">
        <v>9</v>
      </c>
      <c r="B179" s="1675">
        <v>2040102</v>
      </c>
      <c r="C179" s="1729">
        <v>0.04</v>
      </c>
      <c r="D179" s="1638" t="s">
        <v>604</v>
      </c>
      <c r="E179" s="2789">
        <f t="shared" si="146"/>
        <v>0</v>
      </c>
      <c r="F179" s="2751">
        <f t="shared" si="143"/>
        <v>0</v>
      </c>
      <c r="G179" s="2752">
        <f t="shared" si="143"/>
        <v>0</v>
      </c>
      <c r="H179" s="2752">
        <f t="shared" si="143"/>
        <v>0</v>
      </c>
      <c r="I179" s="2752">
        <f t="shared" si="143"/>
        <v>0</v>
      </c>
      <c r="J179" s="2752">
        <f t="shared" si="143"/>
        <v>0</v>
      </c>
      <c r="K179" s="2753">
        <f t="shared" si="143"/>
        <v>0</v>
      </c>
      <c r="L179" s="2789">
        <f t="shared" si="143"/>
        <v>0</v>
      </c>
      <c r="M179" s="2751">
        <f t="shared" si="144"/>
        <v>0</v>
      </c>
      <c r="N179" s="2752">
        <f t="shared" si="144"/>
        <v>0</v>
      </c>
      <c r="O179" s="2752">
        <f t="shared" si="144"/>
        <v>0</v>
      </c>
      <c r="P179" s="2752">
        <f t="shared" si="144"/>
        <v>0</v>
      </c>
      <c r="Q179" s="2752">
        <f t="shared" si="144"/>
        <v>0</v>
      </c>
      <c r="R179" s="2753">
        <f t="shared" si="144"/>
        <v>0</v>
      </c>
      <c r="S179" s="2789">
        <f t="shared" si="144"/>
        <v>0</v>
      </c>
      <c r="T179" s="2751">
        <f t="shared" si="145"/>
        <v>0</v>
      </c>
      <c r="U179" s="2752">
        <f t="shared" si="145"/>
        <v>0</v>
      </c>
      <c r="V179" s="2752">
        <f t="shared" si="145"/>
        <v>0</v>
      </c>
      <c r="W179" s="2752">
        <f t="shared" si="145"/>
        <v>0</v>
      </c>
      <c r="X179" s="2752">
        <f t="shared" si="145"/>
        <v>0</v>
      </c>
      <c r="Y179" s="2753">
        <f t="shared" si="145"/>
        <v>0</v>
      </c>
      <c r="Z179" s="1672"/>
      <c r="AA179" s="1703"/>
      <c r="AB179" s="1727"/>
    </row>
    <row r="180" spans="1:28" s="1643" customFormat="1">
      <c r="A180" s="1730">
        <v>10</v>
      </c>
      <c r="B180" s="1675">
        <v>2040201</v>
      </c>
      <c r="C180" s="1676">
        <v>0.02</v>
      </c>
      <c r="D180" s="1624" t="s">
        <v>1007</v>
      </c>
      <c r="E180" s="2789">
        <f t="shared" si="146"/>
        <v>0</v>
      </c>
      <c r="F180" s="2751">
        <f t="shared" si="143"/>
        <v>0</v>
      </c>
      <c r="G180" s="2752">
        <f t="shared" si="143"/>
        <v>0</v>
      </c>
      <c r="H180" s="2752">
        <f t="shared" si="143"/>
        <v>0</v>
      </c>
      <c r="I180" s="2752">
        <f t="shared" si="143"/>
        <v>0</v>
      </c>
      <c r="J180" s="2752">
        <f t="shared" si="143"/>
        <v>0</v>
      </c>
      <c r="K180" s="2753">
        <f t="shared" si="143"/>
        <v>0</v>
      </c>
      <c r="L180" s="2789">
        <f t="shared" si="143"/>
        <v>0</v>
      </c>
      <c r="M180" s="2751">
        <f t="shared" si="144"/>
        <v>0</v>
      </c>
      <c r="N180" s="2752">
        <f t="shared" si="144"/>
        <v>0</v>
      </c>
      <c r="O180" s="2752">
        <f t="shared" si="144"/>
        <v>0</v>
      </c>
      <c r="P180" s="2752">
        <f t="shared" si="144"/>
        <v>0</v>
      </c>
      <c r="Q180" s="2752">
        <f t="shared" si="144"/>
        <v>0</v>
      </c>
      <c r="R180" s="2753">
        <f t="shared" si="144"/>
        <v>0</v>
      </c>
      <c r="S180" s="2789">
        <f t="shared" si="144"/>
        <v>0</v>
      </c>
      <c r="T180" s="2751">
        <f t="shared" si="145"/>
        <v>0</v>
      </c>
      <c r="U180" s="2752">
        <f t="shared" si="145"/>
        <v>0</v>
      </c>
      <c r="V180" s="2752">
        <f t="shared" si="145"/>
        <v>0</v>
      </c>
      <c r="W180" s="2752">
        <f t="shared" si="145"/>
        <v>0</v>
      </c>
      <c r="X180" s="2752">
        <f t="shared" si="145"/>
        <v>0</v>
      </c>
      <c r="Y180" s="2753">
        <f t="shared" si="145"/>
        <v>0</v>
      </c>
      <c r="Z180" s="1672"/>
      <c r="AA180" s="1703"/>
      <c r="AB180" s="1727"/>
    </row>
    <row r="181" spans="1:28" s="1643" customFormat="1">
      <c r="A181" s="1730">
        <v>11</v>
      </c>
      <c r="B181" s="1675">
        <v>2040202</v>
      </c>
      <c r="C181" s="1676">
        <v>0.02</v>
      </c>
      <c r="D181" s="1624" t="s">
        <v>1008</v>
      </c>
      <c r="E181" s="2789">
        <f t="shared" si="146"/>
        <v>0</v>
      </c>
      <c r="F181" s="2751">
        <f t="shared" ref="F181:L189" si="147">F121-F161</f>
        <v>-3.5000000000000004</v>
      </c>
      <c r="G181" s="2752">
        <f t="shared" si="147"/>
        <v>-7.0000000000000009</v>
      </c>
      <c r="H181" s="2752">
        <f t="shared" si="147"/>
        <v>-10.500000000000002</v>
      </c>
      <c r="I181" s="2752">
        <f t="shared" si="147"/>
        <v>-14.000000000000002</v>
      </c>
      <c r="J181" s="2752">
        <f t="shared" si="147"/>
        <v>-17.500000000000004</v>
      </c>
      <c r="K181" s="2753">
        <f t="shared" si="147"/>
        <v>-21.000000000000004</v>
      </c>
      <c r="L181" s="2789">
        <f t="shared" si="143"/>
        <v>0</v>
      </c>
      <c r="M181" s="2751">
        <f t="shared" ref="M181:S189" si="148">M121-M161</f>
        <v>0</v>
      </c>
      <c r="N181" s="2752">
        <f t="shared" si="148"/>
        <v>0</v>
      </c>
      <c r="O181" s="2752">
        <f t="shared" si="148"/>
        <v>0</v>
      </c>
      <c r="P181" s="2752">
        <f t="shared" si="148"/>
        <v>0</v>
      </c>
      <c r="Q181" s="2752">
        <f t="shared" si="148"/>
        <v>0</v>
      </c>
      <c r="R181" s="2753">
        <f t="shared" si="148"/>
        <v>0</v>
      </c>
      <c r="S181" s="2789">
        <f t="shared" si="144"/>
        <v>0</v>
      </c>
      <c r="T181" s="2751">
        <f t="shared" ref="T181:Y189" si="149">T121-T161</f>
        <v>0</v>
      </c>
      <c r="U181" s="2752">
        <f t="shared" si="149"/>
        <v>0</v>
      </c>
      <c r="V181" s="2752">
        <f t="shared" si="149"/>
        <v>0</v>
      </c>
      <c r="W181" s="2752">
        <f t="shared" si="149"/>
        <v>0</v>
      </c>
      <c r="X181" s="2752">
        <f t="shared" si="149"/>
        <v>0</v>
      </c>
      <c r="Y181" s="2753">
        <f t="shared" si="149"/>
        <v>0</v>
      </c>
      <c r="Z181" s="1672"/>
      <c r="AA181" s="1703"/>
      <c r="AB181" s="1727"/>
    </row>
    <row r="182" spans="1:28" s="1643" customFormat="1">
      <c r="A182" s="1730">
        <v>12</v>
      </c>
      <c r="B182" s="1675">
        <v>2040203</v>
      </c>
      <c r="C182" s="1676">
        <v>0.02</v>
      </c>
      <c r="D182" s="1624" t="s">
        <v>590</v>
      </c>
      <c r="E182" s="2789">
        <f t="shared" si="146"/>
        <v>0</v>
      </c>
      <c r="F182" s="2751">
        <f t="shared" si="147"/>
        <v>-0.42</v>
      </c>
      <c r="G182" s="2752">
        <f t="shared" si="147"/>
        <v>-0.84</v>
      </c>
      <c r="H182" s="2752">
        <f t="shared" si="147"/>
        <v>-1.26</v>
      </c>
      <c r="I182" s="2752">
        <f t="shared" si="147"/>
        <v>-1.68</v>
      </c>
      <c r="J182" s="2752">
        <f t="shared" si="147"/>
        <v>-2.1</v>
      </c>
      <c r="K182" s="2753">
        <f t="shared" si="147"/>
        <v>-2.52</v>
      </c>
      <c r="L182" s="2789">
        <f t="shared" si="143"/>
        <v>0</v>
      </c>
      <c r="M182" s="2751">
        <f t="shared" si="148"/>
        <v>0</v>
      </c>
      <c r="N182" s="2752">
        <f t="shared" si="148"/>
        <v>0</v>
      </c>
      <c r="O182" s="2752">
        <f t="shared" si="148"/>
        <v>0</v>
      </c>
      <c r="P182" s="2752">
        <f t="shared" si="148"/>
        <v>0</v>
      </c>
      <c r="Q182" s="2752">
        <f t="shared" si="148"/>
        <v>0</v>
      </c>
      <c r="R182" s="2753">
        <f t="shared" si="148"/>
        <v>0</v>
      </c>
      <c r="S182" s="2789">
        <f t="shared" si="144"/>
        <v>0</v>
      </c>
      <c r="T182" s="2751">
        <f t="shared" si="149"/>
        <v>0</v>
      </c>
      <c r="U182" s="2752">
        <f t="shared" si="149"/>
        <v>0</v>
      </c>
      <c r="V182" s="2752">
        <f t="shared" si="149"/>
        <v>0</v>
      </c>
      <c r="W182" s="2752">
        <f t="shared" si="149"/>
        <v>0</v>
      </c>
      <c r="X182" s="2752">
        <f t="shared" si="149"/>
        <v>0</v>
      </c>
      <c r="Y182" s="2753">
        <f t="shared" si="149"/>
        <v>0</v>
      </c>
      <c r="Z182" s="1672"/>
      <c r="AA182" s="1703"/>
      <c r="AB182" s="1727"/>
    </row>
    <row r="183" spans="1:28" s="1643" customFormat="1">
      <c r="A183" s="1730">
        <v>13</v>
      </c>
      <c r="B183" s="1675">
        <v>2040204</v>
      </c>
      <c r="C183" s="1676">
        <v>0.02</v>
      </c>
      <c r="D183" s="1638" t="s">
        <v>591</v>
      </c>
      <c r="E183" s="2789">
        <f t="shared" si="146"/>
        <v>0</v>
      </c>
      <c r="F183" s="2751">
        <f t="shared" si="147"/>
        <v>0</v>
      </c>
      <c r="G183" s="2752">
        <f t="shared" si="147"/>
        <v>9.9</v>
      </c>
      <c r="H183" s="2752">
        <f t="shared" si="147"/>
        <v>19.600000000000001</v>
      </c>
      <c r="I183" s="2752">
        <f t="shared" si="147"/>
        <v>29.1</v>
      </c>
      <c r="J183" s="2752">
        <f t="shared" si="147"/>
        <v>38.4</v>
      </c>
      <c r="K183" s="2753">
        <f t="shared" si="147"/>
        <v>47.5</v>
      </c>
      <c r="L183" s="2789">
        <f t="shared" si="143"/>
        <v>0</v>
      </c>
      <c r="M183" s="2751">
        <f t="shared" si="148"/>
        <v>0</v>
      </c>
      <c r="N183" s="2752">
        <f t="shared" si="148"/>
        <v>0</v>
      </c>
      <c r="O183" s="2752">
        <f t="shared" si="148"/>
        <v>0</v>
      </c>
      <c r="P183" s="2752">
        <f t="shared" si="148"/>
        <v>0</v>
      </c>
      <c r="Q183" s="2752">
        <f t="shared" si="148"/>
        <v>0</v>
      </c>
      <c r="R183" s="2753">
        <f t="shared" si="148"/>
        <v>0</v>
      </c>
      <c r="S183" s="2789">
        <f t="shared" si="144"/>
        <v>0</v>
      </c>
      <c r="T183" s="2751">
        <f t="shared" si="149"/>
        <v>0</v>
      </c>
      <c r="U183" s="2752">
        <f t="shared" si="149"/>
        <v>0</v>
      </c>
      <c r="V183" s="2752">
        <f t="shared" si="149"/>
        <v>0</v>
      </c>
      <c r="W183" s="2752">
        <f t="shared" si="149"/>
        <v>0</v>
      </c>
      <c r="X183" s="2752">
        <f t="shared" si="149"/>
        <v>0</v>
      </c>
      <c r="Y183" s="2753">
        <f t="shared" si="149"/>
        <v>0</v>
      </c>
      <c r="Z183" s="1672"/>
      <c r="AA183" s="1703"/>
      <c r="AB183" s="1727"/>
    </row>
    <row r="184" spans="1:28" s="1643" customFormat="1">
      <c r="A184" s="1730">
        <v>14</v>
      </c>
      <c r="B184" s="1675">
        <v>2040205</v>
      </c>
      <c r="C184" s="1676">
        <v>0.02</v>
      </c>
      <c r="D184" s="1624" t="s">
        <v>592</v>
      </c>
      <c r="E184" s="2789">
        <f t="shared" si="146"/>
        <v>0</v>
      </c>
      <c r="F184" s="2751">
        <f t="shared" si="147"/>
        <v>1047.48</v>
      </c>
      <c r="G184" s="2752">
        <f t="shared" si="147"/>
        <v>1483.4</v>
      </c>
      <c r="H184" s="2752">
        <f t="shared" si="147"/>
        <v>1889.92</v>
      </c>
      <c r="I184" s="2752">
        <f t="shared" si="147"/>
        <v>2217.94</v>
      </c>
      <c r="J184" s="2752">
        <f t="shared" si="147"/>
        <v>2597.56</v>
      </c>
      <c r="K184" s="2753">
        <f t="shared" si="147"/>
        <v>2918.68</v>
      </c>
      <c r="L184" s="2789">
        <f t="shared" si="143"/>
        <v>0</v>
      </c>
      <c r="M184" s="2751">
        <f t="shared" si="148"/>
        <v>0</v>
      </c>
      <c r="N184" s="2752">
        <f t="shared" si="148"/>
        <v>0</v>
      </c>
      <c r="O184" s="2752">
        <f t="shared" si="148"/>
        <v>0</v>
      </c>
      <c r="P184" s="2752">
        <f t="shared" si="148"/>
        <v>0</v>
      </c>
      <c r="Q184" s="2752">
        <f t="shared" si="148"/>
        <v>0</v>
      </c>
      <c r="R184" s="2753">
        <f t="shared" si="148"/>
        <v>0</v>
      </c>
      <c r="S184" s="2789">
        <f t="shared" si="144"/>
        <v>0</v>
      </c>
      <c r="T184" s="2751">
        <f t="shared" si="149"/>
        <v>0</v>
      </c>
      <c r="U184" s="2752">
        <f t="shared" si="149"/>
        <v>0</v>
      </c>
      <c r="V184" s="2752">
        <f t="shared" si="149"/>
        <v>0</v>
      </c>
      <c r="W184" s="2752">
        <f t="shared" si="149"/>
        <v>0</v>
      </c>
      <c r="X184" s="2752">
        <f t="shared" si="149"/>
        <v>0</v>
      </c>
      <c r="Y184" s="2753">
        <f t="shared" si="149"/>
        <v>0</v>
      </c>
      <c r="Z184" s="1672"/>
      <c r="AA184" s="1703"/>
      <c r="AB184" s="1727"/>
    </row>
    <row r="185" spans="1:28" s="1643" customFormat="1">
      <c r="A185" s="1730">
        <v>15</v>
      </c>
      <c r="B185" s="1675">
        <v>2040206</v>
      </c>
      <c r="C185" s="1676">
        <v>0.02</v>
      </c>
      <c r="D185" s="1626" t="s">
        <v>593</v>
      </c>
      <c r="E185" s="2789">
        <f t="shared" si="146"/>
        <v>0</v>
      </c>
      <c r="F185" s="2751">
        <f t="shared" si="147"/>
        <v>0</v>
      </c>
      <c r="G185" s="2752">
        <f t="shared" si="147"/>
        <v>0</v>
      </c>
      <c r="H185" s="2752">
        <f t="shared" si="147"/>
        <v>0</v>
      </c>
      <c r="I185" s="2752">
        <f t="shared" si="147"/>
        <v>0</v>
      </c>
      <c r="J185" s="2752">
        <f t="shared" si="147"/>
        <v>0</v>
      </c>
      <c r="K185" s="2753">
        <f t="shared" si="147"/>
        <v>0</v>
      </c>
      <c r="L185" s="2789">
        <f t="shared" si="143"/>
        <v>0</v>
      </c>
      <c r="M185" s="2751">
        <f t="shared" si="148"/>
        <v>54.37</v>
      </c>
      <c r="N185" s="2752">
        <f t="shared" si="148"/>
        <v>95.76</v>
      </c>
      <c r="O185" s="2752">
        <f t="shared" si="148"/>
        <v>131.34</v>
      </c>
      <c r="P185" s="2752">
        <f t="shared" si="148"/>
        <v>199.82</v>
      </c>
      <c r="Q185" s="2752">
        <f t="shared" si="148"/>
        <v>255.97</v>
      </c>
      <c r="R185" s="2753">
        <f t="shared" si="148"/>
        <v>293.08</v>
      </c>
      <c r="S185" s="2789">
        <f t="shared" si="144"/>
        <v>0</v>
      </c>
      <c r="T185" s="2751">
        <f t="shared" si="149"/>
        <v>0</v>
      </c>
      <c r="U185" s="2752">
        <f t="shared" si="149"/>
        <v>0</v>
      </c>
      <c r="V185" s="2752">
        <f t="shared" si="149"/>
        <v>0</v>
      </c>
      <c r="W185" s="2752">
        <f t="shared" si="149"/>
        <v>0</v>
      </c>
      <c r="X185" s="2752">
        <f t="shared" si="149"/>
        <v>0</v>
      </c>
      <c r="Y185" s="2753">
        <f t="shared" si="149"/>
        <v>0</v>
      </c>
      <c r="Z185" s="1672"/>
      <c r="AA185" s="1703"/>
      <c r="AB185" s="1727"/>
    </row>
    <row r="186" spans="1:28" s="1643" customFormat="1" ht="24">
      <c r="A186" s="1730">
        <v>16</v>
      </c>
      <c r="B186" s="1675">
        <v>2040207</v>
      </c>
      <c r="C186" s="1676">
        <v>0.04</v>
      </c>
      <c r="D186" s="1626" t="s">
        <v>594</v>
      </c>
      <c r="E186" s="2789">
        <f t="shared" si="146"/>
        <v>0</v>
      </c>
      <c r="F186" s="2751">
        <f t="shared" si="147"/>
        <v>271.45999999999998</v>
      </c>
      <c r="G186" s="2752">
        <f t="shared" si="147"/>
        <v>358.38</v>
      </c>
      <c r="H186" s="2752">
        <f t="shared" si="147"/>
        <v>436.4</v>
      </c>
      <c r="I186" s="2752">
        <f t="shared" si="147"/>
        <v>515.52</v>
      </c>
      <c r="J186" s="2752">
        <f t="shared" si="147"/>
        <v>580.84</v>
      </c>
      <c r="K186" s="2753">
        <f t="shared" si="147"/>
        <v>637.66</v>
      </c>
      <c r="L186" s="2789">
        <f t="shared" si="143"/>
        <v>0</v>
      </c>
      <c r="M186" s="2751">
        <f t="shared" si="148"/>
        <v>0</v>
      </c>
      <c r="N186" s="2752">
        <f t="shared" si="148"/>
        <v>0</v>
      </c>
      <c r="O186" s="2752">
        <f t="shared" si="148"/>
        <v>0</v>
      </c>
      <c r="P186" s="2752">
        <f t="shared" si="148"/>
        <v>0</v>
      </c>
      <c r="Q186" s="2752">
        <f t="shared" si="148"/>
        <v>0</v>
      </c>
      <c r="R186" s="2753">
        <f t="shared" si="148"/>
        <v>0</v>
      </c>
      <c r="S186" s="2789">
        <f t="shared" si="144"/>
        <v>0</v>
      </c>
      <c r="T186" s="2751">
        <f t="shared" si="149"/>
        <v>0</v>
      </c>
      <c r="U186" s="2752">
        <f t="shared" si="149"/>
        <v>38.22</v>
      </c>
      <c r="V186" s="2752">
        <f t="shared" si="149"/>
        <v>69.98</v>
      </c>
      <c r="W186" s="2752">
        <f t="shared" si="149"/>
        <v>112.14</v>
      </c>
      <c r="X186" s="2752">
        <f t="shared" si="149"/>
        <v>137.76</v>
      </c>
      <c r="Y186" s="2753">
        <f t="shared" si="149"/>
        <v>171.94</v>
      </c>
      <c r="Z186" s="1672"/>
      <c r="AA186" s="1703"/>
      <c r="AB186" s="1727"/>
    </row>
    <row r="187" spans="1:28" s="1643" customFormat="1">
      <c r="A187" s="1730">
        <v>17</v>
      </c>
      <c r="B187" s="1675">
        <v>2040208</v>
      </c>
      <c r="C187" s="1676">
        <v>0.04</v>
      </c>
      <c r="D187" s="1626" t="s">
        <v>595</v>
      </c>
      <c r="E187" s="2789">
        <f t="shared" si="146"/>
        <v>0</v>
      </c>
      <c r="F187" s="2751">
        <f t="shared" si="147"/>
        <v>-0.64</v>
      </c>
      <c r="G187" s="2752">
        <f t="shared" si="147"/>
        <v>-1.28</v>
      </c>
      <c r="H187" s="2752">
        <f t="shared" si="147"/>
        <v>-1.92</v>
      </c>
      <c r="I187" s="2752">
        <f t="shared" si="147"/>
        <v>-2.56</v>
      </c>
      <c r="J187" s="2752">
        <f t="shared" si="147"/>
        <v>-3.2</v>
      </c>
      <c r="K187" s="2753">
        <f t="shared" si="147"/>
        <v>-3.8400000000000003</v>
      </c>
      <c r="L187" s="2789">
        <f t="shared" si="147"/>
        <v>0</v>
      </c>
      <c r="M187" s="2751">
        <f t="shared" si="148"/>
        <v>0</v>
      </c>
      <c r="N187" s="2752">
        <f t="shared" si="148"/>
        <v>0</v>
      </c>
      <c r="O187" s="2752">
        <f t="shared" si="148"/>
        <v>0</v>
      </c>
      <c r="P187" s="2752">
        <f t="shared" si="148"/>
        <v>0</v>
      </c>
      <c r="Q187" s="2752">
        <f t="shared" si="148"/>
        <v>0</v>
      </c>
      <c r="R187" s="2753">
        <f t="shared" si="148"/>
        <v>0</v>
      </c>
      <c r="S187" s="2789">
        <f t="shared" si="148"/>
        <v>0</v>
      </c>
      <c r="T187" s="2751">
        <f t="shared" si="149"/>
        <v>0</v>
      </c>
      <c r="U187" s="2752">
        <f t="shared" si="149"/>
        <v>0</v>
      </c>
      <c r="V187" s="2752">
        <f t="shared" si="149"/>
        <v>0</v>
      </c>
      <c r="W187" s="2752">
        <f t="shared" si="149"/>
        <v>0</v>
      </c>
      <c r="X187" s="2752">
        <f t="shared" si="149"/>
        <v>0</v>
      </c>
      <c r="Y187" s="2753">
        <f t="shared" si="149"/>
        <v>0</v>
      </c>
      <c r="Z187" s="1672"/>
      <c r="AA187" s="1703"/>
      <c r="AB187" s="1727"/>
    </row>
    <row r="188" spans="1:28" s="1643" customFormat="1">
      <c r="A188" s="1730">
        <v>18</v>
      </c>
      <c r="B188" s="1833" t="s">
        <v>1525</v>
      </c>
      <c r="C188" s="1676">
        <v>0.04</v>
      </c>
      <c r="D188" s="1728" t="s">
        <v>606</v>
      </c>
      <c r="E188" s="2789">
        <f t="shared" si="146"/>
        <v>0</v>
      </c>
      <c r="F188" s="2751">
        <f t="shared" si="147"/>
        <v>0</v>
      </c>
      <c r="G188" s="2752">
        <f t="shared" si="147"/>
        <v>0</v>
      </c>
      <c r="H188" s="2752">
        <f t="shared" si="147"/>
        <v>0</v>
      </c>
      <c r="I188" s="2752">
        <f t="shared" si="147"/>
        <v>0</v>
      </c>
      <c r="J188" s="2752">
        <f t="shared" si="147"/>
        <v>0</v>
      </c>
      <c r="K188" s="2753">
        <f t="shared" si="147"/>
        <v>0</v>
      </c>
      <c r="L188" s="2789">
        <f t="shared" si="147"/>
        <v>0</v>
      </c>
      <c r="M188" s="2751">
        <f t="shared" si="148"/>
        <v>0</v>
      </c>
      <c r="N188" s="2752">
        <f t="shared" si="148"/>
        <v>0</v>
      </c>
      <c r="O188" s="2752">
        <f t="shared" si="148"/>
        <v>0</v>
      </c>
      <c r="P188" s="2752">
        <f t="shared" si="148"/>
        <v>0</v>
      </c>
      <c r="Q188" s="2752">
        <f t="shared" si="148"/>
        <v>0</v>
      </c>
      <c r="R188" s="2753">
        <f t="shared" si="148"/>
        <v>0</v>
      </c>
      <c r="S188" s="2789">
        <f t="shared" si="148"/>
        <v>0</v>
      </c>
      <c r="T188" s="2751">
        <f t="shared" si="149"/>
        <v>0</v>
      </c>
      <c r="U188" s="2752">
        <f t="shared" si="149"/>
        <v>0</v>
      </c>
      <c r="V188" s="2752">
        <f t="shared" si="149"/>
        <v>0</v>
      </c>
      <c r="W188" s="2752">
        <f t="shared" si="149"/>
        <v>0</v>
      </c>
      <c r="X188" s="2752">
        <f t="shared" si="149"/>
        <v>0</v>
      </c>
      <c r="Y188" s="2753">
        <f t="shared" si="149"/>
        <v>0</v>
      </c>
      <c r="Z188" s="1672"/>
      <c r="AA188" s="1703"/>
      <c r="AB188" s="1727"/>
    </row>
    <row r="189" spans="1:28" s="1643" customFormat="1" ht="23.25" customHeight="1" thickBot="1">
      <c r="A189" s="1730">
        <v>19</v>
      </c>
      <c r="B189" s="1675">
        <v>215</v>
      </c>
      <c r="C189" s="1680">
        <v>0.2</v>
      </c>
      <c r="D189" s="1626" t="s">
        <v>911</v>
      </c>
      <c r="E189" s="2789">
        <f t="shared" si="146"/>
        <v>0</v>
      </c>
      <c r="F189" s="2773">
        <f t="shared" si="147"/>
        <v>0</v>
      </c>
      <c r="G189" s="2771">
        <f t="shared" si="147"/>
        <v>0</v>
      </c>
      <c r="H189" s="2771">
        <f t="shared" si="147"/>
        <v>0</v>
      </c>
      <c r="I189" s="2771">
        <f t="shared" si="147"/>
        <v>0</v>
      </c>
      <c r="J189" s="2771">
        <f t="shared" si="147"/>
        <v>0</v>
      </c>
      <c r="K189" s="2772">
        <f t="shared" si="147"/>
        <v>0</v>
      </c>
      <c r="L189" s="2789">
        <f t="shared" si="147"/>
        <v>0</v>
      </c>
      <c r="M189" s="2773">
        <f t="shared" si="148"/>
        <v>0</v>
      </c>
      <c r="N189" s="2771">
        <f t="shared" si="148"/>
        <v>0</v>
      </c>
      <c r="O189" s="2771">
        <f t="shared" si="148"/>
        <v>0</v>
      </c>
      <c r="P189" s="2771">
        <f t="shared" si="148"/>
        <v>0</v>
      </c>
      <c r="Q189" s="2771">
        <f t="shared" si="148"/>
        <v>0</v>
      </c>
      <c r="R189" s="2772">
        <f t="shared" si="148"/>
        <v>0</v>
      </c>
      <c r="S189" s="2789">
        <f t="shared" si="148"/>
        <v>0</v>
      </c>
      <c r="T189" s="2773">
        <f t="shared" si="149"/>
        <v>0</v>
      </c>
      <c r="U189" s="2771">
        <f t="shared" si="149"/>
        <v>0</v>
      </c>
      <c r="V189" s="2771">
        <f t="shared" si="149"/>
        <v>0</v>
      </c>
      <c r="W189" s="2771">
        <f t="shared" si="149"/>
        <v>0</v>
      </c>
      <c r="X189" s="2771">
        <f t="shared" si="149"/>
        <v>0</v>
      </c>
      <c r="Y189" s="2772">
        <f t="shared" si="149"/>
        <v>0</v>
      </c>
      <c r="Z189" s="1672"/>
      <c r="AA189" s="1703"/>
      <c r="AB189" s="1727"/>
    </row>
    <row r="190" spans="1:28" ht="38.25" customHeight="1" thickBot="1">
      <c r="A190" s="1714" t="s">
        <v>596</v>
      </c>
      <c r="B190" s="1714"/>
      <c r="C190" s="1714"/>
      <c r="D190" s="1715" t="s">
        <v>867</v>
      </c>
      <c r="E190" s="2790"/>
      <c r="F190" s="2791"/>
      <c r="G190" s="2792"/>
      <c r="H190" s="2792"/>
      <c r="I190" s="2792"/>
      <c r="J190" s="2792"/>
      <c r="K190" s="2793"/>
      <c r="L190" s="2790"/>
      <c r="M190" s="2791"/>
      <c r="N190" s="2792"/>
      <c r="O190" s="2792"/>
      <c r="P190" s="2792"/>
      <c r="Q190" s="2792"/>
      <c r="R190" s="2793"/>
      <c r="S190" s="2790"/>
      <c r="T190" s="2794"/>
      <c r="U190" s="2795"/>
      <c r="V190" s="2795"/>
      <c r="W190" s="2795"/>
      <c r="X190" s="2795"/>
      <c r="Y190" s="2796"/>
      <c r="Z190" s="1718"/>
      <c r="AA190" s="1702"/>
      <c r="AB190" s="1664"/>
    </row>
    <row r="191" spans="1:28" s="1643" customFormat="1" ht="15" customHeight="1" thickBot="1">
      <c r="A191" s="1665" t="s">
        <v>268</v>
      </c>
      <c r="B191" s="1666"/>
      <c r="C191" s="1666"/>
      <c r="D191" s="1666" t="s">
        <v>483</v>
      </c>
      <c r="E191" s="2762">
        <f t="shared" ref="E191:Y191" si="150">SUM(E192:E212)</f>
        <v>32198.834999999999</v>
      </c>
      <c r="F191" s="2757">
        <f t="shared" si="150"/>
        <v>32198.834999999999</v>
      </c>
      <c r="G191" s="1093">
        <f t="shared" si="150"/>
        <v>32198.834999999999</v>
      </c>
      <c r="H191" s="1093">
        <f t="shared" si="150"/>
        <v>32198.834999999999</v>
      </c>
      <c r="I191" s="2075">
        <f t="shared" si="150"/>
        <v>32198.834999999999</v>
      </c>
      <c r="J191" s="1093">
        <f t="shared" si="150"/>
        <v>32198.834999999999</v>
      </c>
      <c r="K191" s="1093">
        <f t="shared" si="150"/>
        <v>32198.834999999999</v>
      </c>
      <c r="L191" s="2762">
        <f t="shared" si="150"/>
        <v>16173</v>
      </c>
      <c r="M191" s="2757">
        <f t="shared" si="150"/>
        <v>16173</v>
      </c>
      <c r="N191" s="1093">
        <f t="shared" si="150"/>
        <v>16173</v>
      </c>
      <c r="O191" s="1093">
        <f t="shared" si="150"/>
        <v>16173</v>
      </c>
      <c r="P191" s="2075">
        <f t="shared" si="150"/>
        <v>16173</v>
      </c>
      <c r="Q191" s="1093">
        <f t="shared" si="150"/>
        <v>16173</v>
      </c>
      <c r="R191" s="1093">
        <f t="shared" si="150"/>
        <v>16173</v>
      </c>
      <c r="S191" s="2762">
        <f t="shared" si="150"/>
        <v>28810.5</v>
      </c>
      <c r="T191" s="2775">
        <f t="shared" si="150"/>
        <v>28810.5</v>
      </c>
      <c r="U191" s="2776">
        <f t="shared" si="150"/>
        <v>28810.5</v>
      </c>
      <c r="V191" s="2776">
        <f t="shared" si="150"/>
        <v>28810.5</v>
      </c>
      <c r="W191" s="2777">
        <f t="shared" si="150"/>
        <v>28810.5</v>
      </c>
      <c r="X191" s="2776">
        <f t="shared" si="150"/>
        <v>28810.5</v>
      </c>
      <c r="Y191" s="2778">
        <f t="shared" si="150"/>
        <v>28810.5</v>
      </c>
      <c r="Z191" s="1672"/>
      <c r="AA191" s="1703"/>
      <c r="AB191" s="1727"/>
    </row>
    <row r="192" spans="1:28" s="1643" customFormat="1">
      <c r="A192" s="1674">
        <v>1</v>
      </c>
      <c r="B192" s="1732" t="s">
        <v>949</v>
      </c>
      <c r="C192" s="1691">
        <v>0</v>
      </c>
      <c r="D192" s="280" t="s">
        <v>760</v>
      </c>
      <c r="E192" s="2246">
        <v>83</v>
      </c>
      <c r="F192" s="896">
        <f>E192+SUMIF('11.2. Нови активи отч.год.'!$B$111:$B$131,$B192,'11.2. Нови активи отч.год.'!F$111:F$131)</f>
        <v>83</v>
      </c>
      <c r="G192" s="897">
        <f>F192+SUMIF('11.2. Нови активи отч.год.'!$B$111:$B$131,$B192,'11.2. Нови активи отч.год.'!G$111:G$131)</f>
        <v>83</v>
      </c>
      <c r="H192" s="897">
        <f>G192+SUMIF('11.2. Нови активи отч.год.'!$B$111:$B$131,$B192,'11.2. Нови активи отч.год.'!H$111:H$131)</f>
        <v>83</v>
      </c>
      <c r="I192" s="897">
        <f>H192+SUMIF('11.2. Нови активи отч.год.'!$B$111:$B$131,$B192,'11.2. Нови активи отч.год.'!I$111:I$131)</f>
        <v>83</v>
      </c>
      <c r="J192" s="897">
        <f>I192+SUMIF('11.2. Нови активи отч.год.'!$B$111:$B$131,$B192,'11.2. Нови активи отч.год.'!J$111:J$131)</f>
        <v>83</v>
      </c>
      <c r="K192" s="898">
        <f>J192+SUMIF('11.2. Нови активи отч.год.'!$B$111:$B$131,$B192,'11.2. Нови активи отч.год.'!K$111:K$131)</f>
        <v>83</v>
      </c>
      <c r="L192" s="2246">
        <v>0</v>
      </c>
      <c r="M192" s="896">
        <f>L192+SUMIF('11.2. Нови активи отч.год.'!$B$111:$B$131,$B192,'11.2. Нови активи отч.год.'!M$111:M$131)</f>
        <v>0</v>
      </c>
      <c r="N192" s="897">
        <f>M192+SUMIF('11.2. Нови активи отч.год.'!$B$111:$B$131,$B192,'11.2. Нови активи отч.год.'!N$111:N$131)</f>
        <v>0</v>
      </c>
      <c r="O192" s="897">
        <f>N192+SUMIF('11.2. Нови активи отч.год.'!$B$111:$B$131,$B192,'11.2. Нови активи отч.год.'!O$111:O$131)</f>
        <v>0</v>
      </c>
      <c r="P192" s="897">
        <f>O192+SUMIF('11.2. Нови активи отч.год.'!$B$111:$B$131,$B192,'11.2. Нови активи отч.год.'!P$111:P$131)</f>
        <v>0</v>
      </c>
      <c r="Q192" s="897">
        <f>P192+SUMIF('11.2. Нови активи отч.год.'!$B$111:$B$131,$B192,'11.2. Нови активи отч.год.'!Q$111:Q$131)</f>
        <v>0</v>
      </c>
      <c r="R192" s="898">
        <f>Q192+SUMIF('11.2. Нови активи отч.год.'!$B$111:$B$131,$B192,'11.2. Нови активи отч.год.'!R$111:R$131)</f>
        <v>0</v>
      </c>
      <c r="S192" s="2246">
        <v>2</v>
      </c>
      <c r="T192" s="896">
        <f>S192+SUMIF('11.2. Нови активи отч.год.'!$B$111:$B$131,$B192,'11.2. Нови активи отч.год.'!T$111:T$131)</f>
        <v>2</v>
      </c>
      <c r="U192" s="897">
        <f>T192+SUMIF('11.2. Нови активи отч.год.'!$B$111:$B$131,$B192,'11.2. Нови активи отч.год.'!U$111:U$131)</f>
        <v>2</v>
      </c>
      <c r="V192" s="897">
        <f>U192+SUMIF('11.2. Нови активи отч.год.'!$B$111:$B$131,$B192,'11.2. Нови активи отч.год.'!V$111:V$131)</f>
        <v>2</v>
      </c>
      <c r="W192" s="897">
        <f>V192+SUMIF('11.2. Нови активи отч.год.'!$B$111:$B$131,$B192,'11.2. Нови активи отч.год.'!W$111:W$131)</f>
        <v>2</v>
      </c>
      <c r="X192" s="897">
        <f>W192+SUMIF('11.2. Нови активи отч.год.'!$B$111:$B$131,$B192,'11.2. Нови активи отч.год.'!X$111:X$131)</f>
        <v>2</v>
      </c>
      <c r="Y192" s="898">
        <f>X192+SUMIF('11.2. Нови активи отч.год.'!$B$111:$B$131,$B192,'11.2. Нови активи отч.год.'!Y$111:Y$131)</f>
        <v>2</v>
      </c>
      <c r="Z192" s="1672"/>
      <c r="AA192" s="1703"/>
      <c r="AB192" s="1727"/>
    </row>
    <row r="193" spans="1:28" s="1643" customFormat="1">
      <c r="A193" s="1674">
        <v>2</v>
      </c>
      <c r="B193" s="1675" t="s">
        <v>950</v>
      </c>
      <c r="C193" s="1676">
        <v>0.03</v>
      </c>
      <c r="D193" s="1728" t="s">
        <v>598</v>
      </c>
      <c r="E193" s="2246">
        <v>2089</v>
      </c>
      <c r="F193" s="893">
        <f>E193+SUMIF('11.2. Нови активи отч.год.'!$B$111:$B$131,$B193,'11.2. Нови активи отч.год.'!F$111:F$131)</f>
        <v>2089</v>
      </c>
      <c r="G193" s="894">
        <f>F193+SUMIF('11.2. Нови активи отч.год.'!$B$111:$B$131,$B193,'11.2. Нови активи отч.год.'!G$111:G$131)</f>
        <v>2089</v>
      </c>
      <c r="H193" s="894">
        <f>G193+SUMIF('11.2. Нови активи отч.год.'!$B$111:$B$131,$B193,'11.2. Нови активи отч.год.'!H$111:H$131)</f>
        <v>2089</v>
      </c>
      <c r="I193" s="894">
        <f>H193+SUMIF('11.2. Нови активи отч.год.'!$B$111:$B$131,$B193,'11.2. Нови активи отч.год.'!I$111:I$131)</f>
        <v>2089</v>
      </c>
      <c r="J193" s="894">
        <f>I193+SUMIF('11.2. Нови активи отч.год.'!$B$111:$B$131,$B193,'11.2. Нови активи отч.год.'!J$111:J$131)</f>
        <v>2089</v>
      </c>
      <c r="K193" s="895">
        <f>J193+SUMIF('11.2. Нови активи отч.год.'!$B$111:$B$131,$B193,'11.2. Нови активи отч.год.'!K$111:K$131)</f>
        <v>2089</v>
      </c>
      <c r="L193" s="2246">
        <v>0</v>
      </c>
      <c r="M193" s="893">
        <f>L193+SUMIF('11.2. Нови активи отч.год.'!$B$111:$B$131,$B193,'11.2. Нови активи отч.год.'!M$111:M$131)</f>
        <v>0</v>
      </c>
      <c r="N193" s="894">
        <f>M193+SUMIF('11.2. Нови активи отч.год.'!$B$111:$B$131,$B193,'11.2. Нови активи отч.год.'!N$111:N$131)</f>
        <v>0</v>
      </c>
      <c r="O193" s="894">
        <f>N193+SUMIF('11.2. Нови активи отч.год.'!$B$111:$B$131,$B193,'11.2. Нови активи отч.год.'!O$111:O$131)</f>
        <v>0</v>
      </c>
      <c r="P193" s="894">
        <f>O193+SUMIF('11.2. Нови активи отч.год.'!$B$111:$B$131,$B193,'11.2. Нови активи отч.год.'!P$111:P$131)</f>
        <v>0</v>
      </c>
      <c r="Q193" s="894">
        <f>P193+SUMIF('11.2. Нови активи отч.год.'!$B$111:$B$131,$B193,'11.2. Нови активи отч.год.'!Q$111:Q$131)</f>
        <v>0</v>
      </c>
      <c r="R193" s="895">
        <f>Q193+SUMIF('11.2. Нови активи отч.год.'!$B$111:$B$131,$B193,'11.2. Нови активи отч.год.'!R$111:R$131)</f>
        <v>0</v>
      </c>
      <c r="S193" s="2246">
        <v>577</v>
      </c>
      <c r="T193" s="893">
        <f>S193+SUMIF('11.2. Нови активи отч.год.'!$B$111:$B$131,$B193,'11.2. Нови активи отч.год.'!T$111:T$131)</f>
        <v>577</v>
      </c>
      <c r="U193" s="894">
        <f>T193+SUMIF('11.2. Нови активи отч.год.'!$B$111:$B$131,$B193,'11.2. Нови активи отч.год.'!U$111:U$131)</f>
        <v>577</v>
      </c>
      <c r="V193" s="894">
        <f>U193+SUMIF('11.2. Нови активи отч.год.'!$B$111:$B$131,$B193,'11.2. Нови активи отч.год.'!V$111:V$131)</f>
        <v>577</v>
      </c>
      <c r="W193" s="894">
        <f>V193+SUMIF('11.2. Нови активи отч.год.'!$B$111:$B$131,$B193,'11.2. Нови активи отч.год.'!W$111:W$131)</f>
        <v>577</v>
      </c>
      <c r="X193" s="894">
        <f>W193+SUMIF('11.2. Нови активи отч.год.'!$B$111:$B$131,$B193,'11.2. Нови активи отч.год.'!X$111:X$131)</f>
        <v>577</v>
      </c>
      <c r="Y193" s="895">
        <f>X193+SUMIF('11.2. Нови активи отч.год.'!$B$111:$B$131,$B193,'11.2. Нови активи отч.год.'!Y$111:Y$131)</f>
        <v>577</v>
      </c>
      <c r="Z193" s="1672"/>
      <c r="AA193" s="1703"/>
      <c r="AB193" s="1727"/>
    </row>
    <row r="194" spans="1:28" s="1643" customFormat="1">
      <c r="A194" s="1674">
        <v>3</v>
      </c>
      <c r="B194" s="1675">
        <v>911301</v>
      </c>
      <c r="C194" s="1676">
        <v>0.1</v>
      </c>
      <c r="D194" s="1728" t="s">
        <v>599</v>
      </c>
      <c r="E194" s="2246">
        <v>57.9</v>
      </c>
      <c r="F194" s="893">
        <f>E194+SUMIF('11.2. Нови активи отч.год.'!$B$111:$B$131,$B194,'11.2. Нови активи отч.год.'!F$111:F$131)</f>
        <v>57.9</v>
      </c>
      <c r="G194" s="894">
        <f>F194+SUMIF('11.2. Нови активи отч.год.'!$B$111:$B$131,$B194,'11.2. Нови активи отч.год.'!G$111:G$131)</f>
        <v>57.9</v>
      </c>
      <c r="H194" s="894">
        <f>G194+SUMIF('11.2. Нови активи отч.год.'!$B$111:$B$131,$B194,'11.2. Нови активи отч.год.'!H$111:H$131)</f>
        <v>57.9</v>
      </c>
      <c r="I194" s="894">
        <f>H194+SUMIF('11.2. Нови активи отч.год.'!$B$111:$B$131,$B194,'11.2. Нови активи отч.год.'!I$111:I$131)</f>
        <v>57.9</v>
      </c>
      <c r="J194" s="894">
        <f>I194+SUMIF('11.2. Нови активи отч.год.'!$B$111:$B$131,$B194,'11.2. Нови активи отч.год.'!J$111:J$131)</f>
        <v>57.9</v>
      </c>
      <c r="K194" s="895">
        <f>J194+SUMIF('11.2. Нови активи отч.год.'!$B$111:$B$131,$B194,'11.2. Нови активи отч.год.'!K$111:K$131)</f>
        <v>57.9</v>
      </c>
      <c r="L194" s="2246">
        <v>0</v>
      </c>
      <c r="M194" s="893">
        <f>L194+SUMIF('11.2. Нови активи отч.год.'!$B$111:$B$131,$B194,'11.2. Нови активи отч.год.'!M$111:M$131)</f>
        <v>0</v>
      </c>
      <c r="N194" s="894">
        <f>M194+SUMIF('11.2. Нови активи отч.год.'!$B$111:$B$131,$B194,'11.2. Нови активи отч.год.'!N$111:N$131)</f>
        <v>0</v>
      </c>
      <c r="O194" s="894">
        <f>N194+SUMIF('11.2. Нови активи отч.год.'!$B$111:$B$131,$B194,'11.2. Нови активи отч.год.'!O$111:O$131)</f>
        <v>0</v>
      </c>
      <c r="P194" s="894">
        <f>O194+SUMIF('11.2. Нови активи отч.год.'!$B$111:$B$131,$B194,'11.2. Нови активи отч.год.'!P$111:P$131)</f>
        <v>0</v>
      </c>
      <c r="Q194" s="894">
        <f>P194+SUMIF('11.2. Нови активи отч.год.'!$B$111:$B$131,$B194,'11.2. Нови активи отч.год.'!Q$111:Q$131)</f>
        <v>0</v>
      </c>
      <c r="R194" s="895">
        <f>Q194+SUMIF('11.2. Нови активи отч.год.'!$B$111:$B$131,$B194,'11.2. Нови активи отч.год.'!R$111:R$131)</f>
        <v>0</v>
      </c>
      <c r="S194" s="2246">
        <v>39</v>
      </c>
      <c r="T194" s="893">
        <f>S194+SUMIF('11.2. Нови активи отч.год.'!$B$111:$B$131,$B194,'11.2. Нови активи отч.год.'!T$111:T$131)</f>
        <v>39</v>
      </c>
      <c r="U194" s="894">
        <f>T194+SUMIF('11.2. Нови активи отч.год.'!$B$111:$B$131,$B194,'11.2. Нови активи отч.год.'!U$111:U$131)</f>
        <v>39</v>
      </c>
      <c r="V194" s="894">
        <f>U194+SUMIF('11.2. Нови активи отч.год.'!$B$111:$B$131,$B194,'11.2. Нови активи отч.год.'!V$111:V$131)</f>
        <v>39</v>
      </c>
      <c r="W194" s="894">
        <f>V194+SUMIF('11.2. Нови активи отч.год.'!$B$111:$B$131,$B194,'11.2. Нови активи отч.год.'!W$111:W$131)</f>
        <v>39</v>
      </c>
      <c r="X194" s="894">
        <f>W194+SUMIF('11.2. Нови активи отч.год.'!$B$111:$B$131,$B194,'11.2. Нови активи отч.год.'!X$111:X$131)</f>
        <v>39</v>
      </c>
      <c r="Y194" s="895">
        <f>X194+SUMIF('11.2. Нови активи отч.год.'!$B$111:$B$131,$B194,'11.2. Нови активи отч.год.'!Y$111:Y$131)</f>
        <v>39</v>
      </c>
      <c r="Z194" s="1672"/>
      <c r="AA194" s="1703"/>
      <c r="AB194" s="1727"/>
    </row>
    <row r="195" spans="1:28" s="1643" customFormat="1">
      <c r="A195" s="1674">
        <v>4</v>
      </c>
      <c r="B195" s="1675">
        <v>911302</v>
      </c>
      <c r="C195" s="1676">
        <v>0.1</v>
      </c>
      <c r="D195" s="1728" t="s">
        <v>600</v>
      </c>
      <c r="E195" s="2246">
        <v>12.7</v>
      </c>
      <c r="F195" s="893">
        <f>E195+SUMIF('11.2. Нови активи отч.год.'!$B$111:$B$131,$B195,'11.2. Нови активи отч.год.'!F$111:F$131)</f>
        <v>12.7</v>
      </c>
      <c r="G195" s="894">
        <f>F195+SUMIF('11.2. Нови активи отч.год.'!$B$111:$B$131,$B195,'11.2. Нови активи отч.год.'!G$111:G$131)</f>
        <v>12.7</v>
      </c>
      <c r="H195" s="894">
        <f>G195+SUMIF('11.2. Нови активи отч.год.'!$B$111:$B$131,$B195,'11.2. Нови активи отч.год.'!H$111:H$131)</f>
        <v>12.7</v>
      </c>
      <c r="I195" s="894">
        <f>H195+SUMIF('11.2. Нови активи отч.год.'!$B$111:$B$131,$B195,'11.2. Нови активи отч.год.'!I$111:I$131)</f>
        <v>12.7</v>
      </c>
      <c r="J195" s="894">
        <f>I195+SUMIF('11.2. Нови активи отч.год.'!$B$111:$B$131,$B195,'11.2. Нови активи отч.год.'!J$111:J$131)</f>
        <v>12.7</v>
      </c>
      <c r="K195" s="895">
        <f>J195+SUMIF('11.2. Нови активи отч.год.'!$B$111:$B$131,$B195,'11.2. Нови активи отч.год.'!K$111:K$131)</f>
        <v>12.7</v>
      </c>
      <c r="L195" s="2246">
        <v>0</v>
      </c>
      <c r="M195" s="893">
        <f>L195+SUMIF('11.2. Нови активи отч.год.'!$B$111:$B$131,$B195,'11.2. Нови активи отч.год.'!M$111:M$131)</f>
        <v>0</v>
      </c>
      <c r="N195" s="894">
        <f>M195+SUMIF('11.2. Нови активи отч.год.'!$B$111:$B$131,$B195,'11.2. Нови активи отч.год.'!N$111:N$131)</f>
        <v>0</v>
      </c>
      <c r="O195" s="894">
        <f>N195+SUMIF('11.2. Нови активи отч.год.'!$B$111:$B$131,$B195,'11.2. Нови активи отч.год.'!O$111:O$131)</f>
        <v>0</v>
      </c>
      <c r="P195" s="894">
        <f>O195+SUMIF('11.2. Нови активи отч.год.'!$B$111:$B$131,$B195,'11.2. Нови активи отч.год.'!P$111:P$131)</f>
        <v>0</v>
      </c>
      <c r="Q195" s="894">
        <f>P195+SUMIF('11.2. Нови активи отч.год.'!$B$111:$B$131,$B195,'11.2. Нови активи отч.год.'!Q$111:Q$131)</f>
        <v>0</v>
      </c>
      <c r="R195" s="895">
        <f>Q195+SUMIF('11.2. Нови активи отч.год.'!$B$111:$B$131,$B195,'11.2. Нови активи отч.год.'!R$111:R$131)</f>
        <v>0</v>
      </c>
      <c r="S195" s="2246">
        <v>0</v>
      </c>
      <c r="T195" s="893">
        <f>S195+SUMIF('11.2. Нови активи отч.год.'!$B$111:$B$131,$B195,'11.2. Нови активи отч.год.'!T$111:T$131)</f>
        <v>0</v>
      </c>
      <c r="U195" s="894">
        <f>T195+SUMIF('11.2. Нови активи отч.год.'!$B$111:$B$131,$B195,'11.2. Нови активи отч.год.'!U$111:U$131)</f>
        <v>0</v>
      </c>
      <c r="V195" s="894">
        <f>U195+SUMIF('11.2. Нови активи отч.год.'!$B$111:$B$131,$B195,'11.2. Нови активи отч.год.'!V$111:V$131)</f>
        <v>0</v>
      </c>
      <c r="W195" s="894">
        <f>V195+SUMIF('11.2. Нови активи отч.год.'!$B$111:$B$131,$B195,'11.2. Нови активи отч.год.'!W$111:W$131)</f>
        <v>0</v>
      </c>
      <c r="X195" s="894">
        <f>W195+SUMIF('11.2. Нови активи отч.год.'!$B$111:$B$131,$B195,'11.2. Нови активи отч.год.'!X$111:X$131)</f>
        <v>0</v>
      </c>
      <c r="Y195" s="895">
        <f>X195+SUMIF('11.2. Нови активи отч.год.'!$B$111:$B$131,$B195,'11.2. Нови активи отч.год.'!Y$111:Y$131)</f>
        <v>0</v>
      </c>
      <c r="Z195" s="1672"/>
      <c r="AA195" s="1703"/>
      <c r="AB195" s="1727"/>
    </row>
    <row r="196" spans="1:28" s="1643" customFormat="1">
      <c r="A196" s="1674">
        <v>5</v>
      </c>
      <c r="B196" s="1675" t="s">
        <v>967</v>
      </c>
      <c r="C196" s="1676">
        <v>0.1</v>
      </c>
      <c r="D196" s="1626" t="s">
        <v>579</v>
      </c>
      <c r="E196" s="2246">
        <v>966</v>
      </c>
      <c r="F196" s="893">
        <f>E196+SUMIF('11.2. Нови активи отч.год.'!$B$111:$B$131,$B196,'11.2. Нови активи отч.год.'!F$111:F$131)</f>
        <v>966</v>
      </c>
      <c r="G196" s="894">
        <f>F196+SUMIF('11.2. Нови активи отч.год.'!$B$111:$B$131,$B196,'11.2. Нови активи отч.год.'!G$111:G$131)</f>
        <v>966</v>
      </c>
      <c r="H196" s="894">
        <f>G196+SUMIF('11.2. Нови активи отч.год.'!$B$111:$B$131,$B196,'11.2. Нови активи отч.год.'!H$111:H$131)</f>
        <v>966</v>
      </c>
      <c r="I196" s="894">
        <f>H196+SUMIF('11.2. Нови активи отч.год.'!$B$111:$B$131,$B196,'11.2. Нови активи отч.год.'!I$111:I$131)</f>
        <v>966</v>
      </c>
      <c r="J196" s="894">
        <f>I196+SUMIF('11.2. Нови активи отч.год.'!$B$111:$B$131,$B196,'11.2. Нови активи отч.год.'!J$111:J$131)</f>
        <v>966</v>
      </c>
      <c r="K196" s="895">
        <f>J196+SUMIF('11.2. Нови активи отч.год.'!$B$111:$B$131,$B196,'11.2. Нови активи отч.год.'!K$111:K$131)</f>
        <v>966</v>
      </c>
      <c r="L196" s="2246">
        <v>0</v>
      </c>
      <c r="M196" s="893">
        <f>L196+SUMIF('11.2. Нови активи отч.год.'!$B$111:$B$131,$B196,'11.2. Нови активи отч.год.'!M$111:M$131)</f>
        <v>0</v>
      </c>
      <c r="N196" s="894">
        <f>M196+SUMIF('11.2. Нови активи отч.год.'!$B$111:$B$131,$B196,'11.2. Нови активи отч.год.'!N$111:N$131)</f>
        <v>0</v>
      </c>
      <c r="O196" s="894">
        <f>N196+SUMIF('11.2. Нови активи отч.год.'!$B$111:$B$131,$B196,'11.2. Нови активи отч.год.'!O$111:O$131)</f>
        <v>0</v>
      </c>
      <c r="P196" s="894">
        <f>O196+SUMIF('11.2. Нови активи отч.год.'!$B$111:$B$131,$B196,'11.2. Нови активи отч.год.'!P$111:P$131)</f>
        <v>0</v>
      </c>
      <c r="Q196" s="894">
        <f>P196+SUMIF('11.2. Нови активи отч.год.'!$B$111:$B$131,$B196,'11.2. Нови активи отч.год.'!Q$111:Q$131)</f>
        <v>0</v>
      </c>
      <c r="R196" s="895">
        <f>Q196+SUMIF('11.2. Нови активи отч.год.'!$B$111:$B$131,$B196,'11.2. Нови активи отч.год.'!R$111:R$131)</f>
        <v>0</v>
      </c>
      <c r="S196" s="2246">
        <v>60</v>
      </c>
      <c r="T196" s="893">
        <f>S196+SUMIF('11.2. Нови активи отч.год.'!$B$111:$B$131,$B196,'11.2. Нови активи отч.год.'!T$111:T$131)</f>
        <v>60</v>
      </c>
      <c r="U196" s="894">
        <f>T196+SUMIF('11.2. Нови активи отч.год.'!$B$111:$B$131,$B196,'11.2. Нови активи отч.год.'!U$111:U$131)</f>
        <v>60</v>
      </c>
      <c r="V196" s="894">
        <f>U196+SUMIF('11.2. Нови активи отч.год.'!$B$111:$B$131,$B196,'11.2. Нови активи отч.год.'!V$111:V$131)</f>
        <v>60</v>
      </c>
      <c r="W196" s="894">
        <f>V196+SUMIF('11.2. Нови активи отч.год.'!$B$111:$B$131,$B196,'11.2. Нови активи отч.год.'!W$111:W$131)</f>
        <v>60</v>
      </c>
      <c r="X196" s="894">
        <f>W196+SUMIF('11.2. Нови активи отч.год.'!$B$111:$B$131,$B196,'11.2. Нови активи отч.год.'!X$111:X$131)</f>
        <v>60</v>
      </c>
      <c r="Y196" s="895">
        <f>X196+SUMIF('11.2. Нови активи отч.год.'!$B$111:$B$131,$B196,'11.2. Нови активи отч.год.'!Y$111:Y$131)</f>
        <v>60</v>
      </c>
      <c r="Z196" s="1672"/>
      <c r="AA196" s="1703"/>
      <c r="AB196" s="1727"/>
    </row>
    <row r="197" spans="1:28" s="1643" customFormat="1">
      <c r="A197" s="1674">
        <v>6</v>
      </c>
      <c r="B197" s="1675" t="s">
        <v>968</v>
      </c>
      <c r="C197" s="1676">
        <v>0.1</v>
      </c>
      <c r="D197" s="1626" t="s">
        <v>1391</v>
      </c>
      <c r="E197" s="2246">
        <v>144.80000000000001</v>
      </c>
      <c r="F197" s="893">
        <f>E197+SUMIF('11.2. Нови активи отч.год.'!$B$111:$B$131,$B197,'11.2. Нови активи отч.год.'!F$111:F$131)</f>
        <v>144.80000000000001</v>
      </c>
      <c r="G197" s="894">
        <f>F197+SUMIF('11.2. Нови активи отч.год.'!$B$111:$B$131,$B197,'11.2. Нови активи отч.год.'!G$111:G$131)</f>
        <v>144.80000000000001</v>
      </c>
      <c r="H197" s="894">
        <f>G197+SUMIF('11.2. Нови активи отч.год.'!$B$111:$B$131,$B197,'11.2. Нови активи отч.год.'!H$111:H$131)</f>
        <v>144.80000000000001</v>
      </c>
      <c r="I197" s="894">
        <f>H197+SUMIF('11.2. Нови активи отч.год.'!$B$111:$B$131,$B197,'11.2. Нови активи отч.год.'!I$111:I$131)</f>
        <v>144.80000000000001</v>
      </c>
      <c r="J197" s="894">
        <f>I197+SUMIF('11.2. Нови активи отч.год.'!$B$111:$B$131,$B197,'11.2. Нови активи отч.год.'!J$111:J$131)</f>
        <v>144.80000000000001</v>
      </c>
      <c r="K197" s="895">
        <f>J197+SUMIF('11.2. Нови активи отч.год.'!$B$111:$B$131,$B197,'11.2. Нови активи отч.год.'!K$111:K$131)</f>
        <v>144.80000000000001</v>
      </c>
      <c r="L197" s="2246">
        <v>0</v>
      </c>
      <c r="M197" s="893">
        <f>L197+SUMIF('11.2. Нови активи отч.год.'!$B$111:$B$131,$B197,'11.2. Нови активи отч.год.'!M$111:M$131)</f>
        <v>0</v>
      </c>
      <c r="N197" s="894">
        <f>M197+SUMIF('11.2. Нови активи отч.год.'!$B$111:$B$131,$B197,'11.2. Нови активи отч.год.'!N$111:N$131)</f>
        <v>0</v>
      </c>
      <c r="O197" s="894">
        <f>N197+SUMIF('11.2. Нови активи отч.год.'!$B$111:$B$131,$B197,'11.2. Нови активи отч.год.'!O$111:O$131)</f>
        <v>0</v>
      </c>
      <c r="P197" s="894">
        <f>O197+SUMIF('11.2. Нови активи отч.год.'!$B$111:$B$131,$B197,'11.2. Нови активи отч.год.'!P$111:P$131)</f>
        <v>0</v>
      </c>
      <c r="Q197" s="894">
        <f>P197+SUMIF('11.2. Нови активи отч.год.'!$B$111:$B$131,$B197,'11.2. Нови активи отч.год.'!Q$111:Q$131)</f>
        <v>0</v>
      </c>
      <c r="R197" s="895">
        <f>Q197+SUMIF('11.2. Нови активи отч.год.'!$B$111:$B$131,$B197,'11.2. Нови активи отч.год.'!R$111:R$131)</f>
        <v>0</v>
      </c>
      <c r="S197" s="2246">
        <v>0</v>
      </c>
      <c r="T197" s="893">
        <f>S197+SUMIF('11.2. Нови активи отч.год.'!$B$111:$B$131,$B197,'11.2. Нови активи отч.год.'!T$111:T$131)</f>
        <v>0</v>
      </c>
      <c r="U197" s="894">
        <f>T197+SUMIF('11.2. Нови активи отч.год.'!$B$111:$B$131,$B197,'11.2. Нови активи отч.год.'!U$111:U$131)</f>
        <v>0</v>
      </c>
      <c r="V197" s="894">
        <f>U197+SUMIF('11.2. Нови активи отч.год.'!$B$111:$B$131,$B197,'11.2. Нови активи отч.год.'!V$111:V$131)</f>
        <v>0</v>
      </c>
      <c r="W197" s="894">
        <f>V197+SUMIF('11.2. Нови активи отч.год.'!$B$111:$B$131,$B197,'11.2. Нови активи отч.год.'!W$111:W$131)</f>
        <v>0</v>
      </c>
      <c r="X197" s="894">
        <f>W197+SUMIF('11.2. Нови активи отч.год.'!$B$111:$B$131,$B197,'11.2. Нови активи отч.год.'!X$111:X$131)</f>
        <v>0</v>
      </c>
      <c r="Y197" s="895">
        <f>X197+SUMIF('11.2. Нови активи отч.год.'!$B$111:$B$131,$B197,'11.2. Нови активи отч.год.'!Y$111:Y$131)</f>
        <v>0</v>
      </c>
      <c r="Z197" s="1672"/>
      <c r="AA197" s="1703"/>
      <c r="AB197" s="1727"/>
    </row>
    <row r="198" spans="1:28" s="1643" customFormat="1" ht="24">
      <c r="A198" s="1674">
        <v>7</v>
      </c>
      <c r="B198" s="1675" t="s">
        <v>959</v>
      </c>
      <c r="C198" s="1676">
        <v>0.1</v>
      </c>
      <c r="D198" s="1626" t="s">
        <v>948</v>
      </c>
      <c r="E198" s="2246">
        <v>214</v>
      </c>
      <c r="F198" s="893">
        <f>E198+SUMIF('11.2. Нови активи отч.год.'!$B$111:$B$131,$B198,'11.2. Нови активи отч.год.'!F$111:F$131)</f>
        <v>214</v>
      </c>
      <c r="G198" s="894">
        <f>F198+SUMIF('11.2. Нови активи отч.год.'!$B$111:$B$131,$B198,'11.2. Нови активи отч.год.'!G$111:G$131)</f>
        <v>214</v>
      </c>
      <c r="H198" s="894">
        <f>G198+SUMIF('11.2. Нови активи отч.год.'!$B$111:$B$131,$B198,'11.2. Нови активи отч.год.'!H$111:H$131)</f>
        <v>214</v>
      </c>
      <c r="I198" s="894">
        <f>H198+SUMIF('11.2. Нови активи отч.год.'!$B$111:$B$131,$B198,'11.2. Нови активи отч.год.'!I$111:I$131)</f>
        <v>214</v>
      </c>
      <c r="J198" s="894">
        <f>I198+SUMIF('11.2. Нови активи отч.год.'!$B$111:$B$131,$B198,'11.2. Нови активи отч.год.'!J$111:J$131)</f>
        <v>214</v>
      </c>
      <c r="K198" s="895">
        <f>J198+SUMIF('11.2. Нови активи отч.год.'!$B$111:$B$131,$B198,'11.2. Нови активи отч.год.'!K$111:K$131)</f>
        <v>214</v>
      </c>
      <c r="L198" s="2246">
        <v>0</v>
      </c>
      <c r="M198" s="893">
        <f>L198+SUMIF('11.2. Нови активи отч.год.'!$B$111:$B$131,$B198,'11.2. Нови активи отч.год.'!M$111:M$131)</f>
        <v>0</v>
      </c>
      <c r="N198" s="894">
        <f>M198+SUMIF('11.2. Нови активи отч.год.'!$B$111:$B$131,$B198,'11.2. Нови активи отч.год.'!N$111:N$131)</f>
        <v>0</v>
      </c>
      <c r="O198" s="894">
        <f>N198+SUMIF('11.2. Нови активи отч.год.'!$B$111:$B$131,$B198,'11.2. Нови активи отч.год.'!O$111:O$131)</f>
        <v>0</v>
      </c>
      <c r="P198" s="894">
        <f>O198+SUMIF('11.2. Нови активи отч.год.'!$B$111:$B$131,$B198,'11.2. Нови активи отч.год.'!P$111:P$131)</f>
        <v>0</v>
      </c>
      <c r="Q198" s="894">
        <f>P198+SUMIF('11.2. Нови активи отч.год.'!$B$111:$B$131,$B198,'11.2. Нови активи отч.год.'!Q$111:Q$131)</f>
        <v>0</v>
      </c>
      <c r="R198" s="895">
        <f>Q198+SUMIF('11.2. Нови активи отч.год.'!$B$111:$B$131,$B198,'11.2. Нови активи отч.год.'!R$111:R$131)</f>
        <v>0</v>
      </c>
      <c r="S198" s="2246">
        <v>0.5</v>
      </c>
      <c r="T198" s="893">
        <f>S198+SUMIF('11.2. Нови активи отч.год.'!$B$111:$B$131,$B198,'11.2. Нови активи отч.год.'!T$111:T$131)</f>
        <v>0.5</v>
      </c>
      <c r="U198" s="894">
        <f>T198+SUMIF('11.2. Нови активи отч.год.'!$B$111:$B$131,$B198,'11.2. Нови активи отч.год.'!U$111:U$131)</f>
        <v>0.5</v>
      </c>
      <c r="V198" s="894">
        <f>U198+SUMIF('11.2. Нови активи отч.год.'!$B$111:$B$131,$B198,'11.2. Нови активи отч.год.'!V$111:V$131)</f>
        <v>0.5</v>
      </c>
      <c r="W198" s="894">
        <f>V198+SUMIF('11.2. Нови активи отч.год.'!$B$111:$B$131,$B198,'11.2. Нови активи отч.год.'!W$111:W$131)</f>
        <v>0.5</v>
      </c>
      <c r="X198" s="894">
        <f>W198+SUMIF('11.2. Нови активи отч.год.'!$B$111:$B$131,$B198,'11.2. Нови активи отч.год.'!X$111:X$131)</f>
        <v>0.5</v>
      </c>
      <c r="Y198" s="895">
        <f>X198+SUMIF('11.2. Нови активи отч.год.'!$B$111:$B$131,$B198,'11.2. Нови активи отч.год.'!Y$111:Y$131)</f>
        <v>0.5</v>
      </c>
      <c r="Z198" s="1672"/>
      <c r="AA198" s="1703"/>
      <c r="AB198" s="1727"/>
    </row>
    <row r="199" spans="1:28" s="1643" customFormat="1">
      <c r="A199" s="1674">
        <v>8</v>
      </c>
      <c r="B199" s="1675" t="s">
        <v>969</v>
      </c>
      <c r="C199" s="1676">
        <v>0.1</v>
      </c>
      <c r="D199" s="1626" t="s">
        <v>966</v>
      </c>
      <c r="E199" s="2246">
        <v>70.3</v>
      </c>
      <c r="F199" s="893">
        <f>E199+SUMIF('11.2. Нови активи отч.год.'!$B$111:$B$131,$B199,'11.2. Нови активи отч.год.'!F$111:F$131)</f>
        <v>70.3</v>
      </c>
      <c r="G199" s="894">
        <f>F199+SUMIF('11.2. Нови активи отч.год.'!$B$111:$B$131,$B199,'11.2. Нови активи отч.год.'!G$111:G$131)</f>
        <v>70.3</v>
      </c>
      <c r="H199" s="894">
        <f>G199+SUMIF('11.2. Нови активи отч.год.'!$B$111:$B$131,$B199,'11.2. Нови активи отч.год.'!H$111:H$131)</f>
        <v>70.3</v>
      </c>
      <c r="I199" s="894">
        <f>H199+SUMIF('11.2. Нови активи отч.год.'!$B$111:$B$131,$B199,'11.2. Нови активи отч.год.'!I$111:I$131)</f>
        <v>70.3</v>
      </c>
      <c r="J199" s="894">
        <f>I199+SUMIF('11.2. Нови активи отч.год.'!$B$111:$B$131,$B199,'11.2. Нови активи отч.год.'!J$111:J$131)</f>
        <v>70.3</v>
      </c>
      <c r="K199" s="895">
        <f>J199+SUMIF('11.2. Нови активи отч.год.'!$B$111:$B$131,$B199,'11.2. Нови активи отч.год.'!K$111:K$131)</f>
        <v>70.3</v>
      </c>
      <c r="L199" s="2246">
        <v>0</v>
      </c>
      <c r="M199" s="893">
        <f>L199+SUMIF('11.2. Нови активи отч.год.'!$B$111:$B$131,$B199,'11.2. Нови активи отч.год.'!M$111:M$131)</f>
        <v>0</v>
      </c>
      <c r="N199" s="894">
        <f>M199+SUMIF('11.2. Нови активи отч.год.'!$B$111:$B$131,$B199,'11.2. Нови активи отч.год.'!N$111:N$131)</f>
        <v>0</v>
      </c>
      <c r="O199" s="894">
        <f>N199+SUMIF('11.2. Нови активи отч.год.'!$B$111:$B$131,$B199,'11.2. Нови активи отч.год.'!O$111:O$131)</f>
        <v>0</v>
      </c>
      <c r="P199" s="894">
        <f>O199+SUMIF('11.2. Нови активи отч.год.'!$B$111:$B$131,$B199,'11.2. Нови активи отч.год.'!P$111:P$131)</f>
        <v>0</v>
      </c>
      <c r="Q199" s="894">
        <f>P199+SUMIF('11.2. Нови активи отч.год.'!$B$111:$B$131,$B199,'11.2. Нови активи отч.год.'!Q$111:Q$131)</f>
        <v>0</v>
      </c>
      <c r="R199" s="895">
        <f>Q199+SUMIF('11.2. Нови активи отч.год.'!$B$111:$B$131,$B199,'11.2. Нови активи отч.год.'!R$111:R$131)</f>
        <v>0</v>
      </c>
      <c r="S199" s="2246">
        <v>0</v>
      </c>
      <c r="T199" s="893">
        <f>S199+SUMIF('11.2. Нови активи отч.год.'!$B$111:$B$131,$B199,'11.2. Нови активи отч.год.'!T$111:T$131)</f>
        <v>0</v>
      </c>
      <c r="U199" s="894">
        <f>T199+SUMIF('11.2. Нови активи отч.год.'!$B$111:$B$131,$B199,'11.2. Нови активи отч.год.'!U$111:U$131)</f>
        <v>0</v>
      </c>
      <c r="V199" s="894">
        <f>U199+SUMIF('11.2. Нови активи отч.год.'!$B$111:$B$131,$B199,'11.2. Нови активи отч.год.'!V$111:V$131)</f>
        <v>0</v>
      </c>
      <c r="W199" s="894">
        <f>V199+SUMIF('11.2. Нови активи отч.год.'!$B$111:$B$131,$B199,'11.2. Нови активи отч.год.'!W$111:W$131)</f>
        <v>0</v>
      </c>
      <c r="X199" s="894">
        <f>W199+SUMIF('11.2. Нови активи отч.год.'!$B$111:$B$131,$B199,'11.2. Нови активи отч.год.'!X$111:X$131)</f>
        <v>0</v>
      </c>
      <c r="Y199" s="895">
        <f>X199+SUMIF('11.2. Нови активи отч.год.'!$B$111:$B$131,$B199,'11.2. Нови активи отч.год.'!Y$111:Y$131)</f>
        <v>0</v>
      </c>
      <c r="Z199" s="1672"/>
      <c r="AA199" s="1703"/>
      <c r="AB199" s="1727"/>
    </row>
    <row r="200" spans="1:28" s="1643" customFormat="1">
      <c r="A200" s="1730">
        <v>9</v>
      </c>
      <c r="B200" s="1675">
        <v>911306</v>
      </c>
      <c r="C200" s="1676">
        <v>0.1</v>
      </c>
      <c r="D200" s="1626" t="s">
        <v>1471</v>
      </c>
      <c r="E200" s="2246">
        <v>43.45</v>
      </c>
      <c r="F200" s="893">
        <f>E200+SUMIF('11.2. Нови активи отч.год.'!$B$111:$B$131,$B200,'11.2. Нови активи отч.год.'!F$111:F$131)</f>
        <v>43.45</v>
      </c>
      <c r="G200" s="894">
        <f>F200+SUMIF('11.2. Нови активи отч.год.'!$B$111:$B$131,$B200,'11.2. Нови активи отч.год.'!G$111:G$131)</f>
        <v>43.45</v>
      </c>
      <c r="H200" s="894">
        <f>G200+SUMIF('11.2. Нови активи отч.год.'!$B$111:$B$131,$B200,'11.2. Нови активи отч.год.'!H$111:H$131)</f>
        <v>43.45</v>
      </c>
      <c r="I200" s="894">
        <f>H200+SUMIF('11.2. Нови активи отч.год.'!$B$111:$B$131,$B200,'11.2. Нови активи отч.год.'!I$111:I$131)</f>
        <v>43.45</v>
      </c>
      <c r="J200" s="894">
        <f>I200+SUMIF('11.2. Нови активи отч.год.'!$B$111:$B$131,$B200,'11.2. Нови активи отч.год.'!J$111:J$131)</f>
        <v>43.45</v>
      </c>
      <c r="K200" s="895">
        <f>J200+SUMIF('11.2. Нови активи отч.год.'!$B$111:$B$131,$B200,'11.2. Нови активи отч.год.'!K$111:K$131)</f>
        <v>43.45</v>
      </c>
      <c r="L200" s="2246">
        <v>0</v>
      </c>
      <c r="M200" s="893">
        <f>L200+SUMIF('11.2. Нови активи отч.год.'!$B$111:$B$131,$B200,'11.2. Нови активи отч.год.'!M$111:M$131)</f>
        <v>0</v>
      </c>
      <c r="N200" s="894">
        <f>M200+SUMIF('11.2. Нови активи отч.год.'!$B$111:$B$131,$B200,'11.2. Нови активи отч.год.'!N$111:N$131)</f>
        <v>0</v>
      </c>
      <c r="O200" s="894">
        <f>N200+SUMIF('11.2. Нови активи отч.год.'!$B$111:$B$131,$B200,'11.2. Нови активи отч.год.'!O$111:O$131)</f>
        <v>0</v>
      </c>
      <c r="P200" s="894">
        <f>O200+SUMIF('11.2. Нови активи отч.год.'!$B$111:$B$131,$B200,'11.2. Нови активи отч.год.'!P$111:P$131)</f>
        <v>0</v>
      </c>
      <c r="Q200" s="894">
        <f>P200+SUMIF('11.2. Нови активи отч.год.'!$B$111:$B$131,$B200,'11.2. Нови активи отч.год.'!Q$111:Q$131)</f>
        <v>0</v>
      </c>
      <c r="R200" s="895">
        <f>Q200+SUMIF('11.2. Нови активи отч.год.'!$B$111:$B$131,$B200,'11.2. Нови активи отч.год.'!R$111:R$131)</f>
        <v>0</v>
      </c>
      <c r="S200" s="2246">
        <v>67</v>
      </c>
      <c r="T200" s="893">
        <f>S200+SUMIF('11.2. Нови активи отч.год.'!$B$111:$B$131,$B200,'11.2. Нови активи отч.год.'!T$111:T$131)</f>
        <v>67</v>
      </c>
      <c r="U200" s="894">
        <f>T200+SUMIF('11.2. Нови активи отч.год.'!$B$111:$B$131,$B200,'11.2. Нови активи отч.год.'!U$111:U$131)</f>
        <v>67</v>
      </c>
      <c r="V200" s="894">
        <f>U200+SUMIF('11.2. Нови активи отч.год.'!$B$111:$B$131,$B200,'11.2. Нови активи отч.год.'!V$111:V$131)</f>
        <v>67</v>
      </c>
      <c r="W200" s="894">
        <f>V200+SUMIF('11.2. Нови активи отч.год.'!$B$111:$B$131,$B200,'11.2. Нови активи отч.год.'!W$111:W$131)</f>
        <v>67</v>
      </c>
      <c r="X200" s="894">
        <f>W200+SUMIF('11.2. Нови активи отч.год.'!$B$111:$B$131,$B200,'11.2. Нови активи отч.год.'!X$111:X$131)</f>
        <v>67</v>
      </c>
      <c r="Y200" s="895">
        <f>X200+SUMIF('11.2. Нови активи отч.год.'!$B$111:$B$131,$B200,'11.2. Нови активи отч.год.'!Y$111:Y$131)</f>
        <v>67</v>
      </c>
      <c r="Z200" s="1672"/>
      <c r="AA200" s="1703"/>
      <c r="AB200" s="1727"/>
    </row>
    <row r="201" spans="1:28" s="1643" customFormat="1">
      <c r="A201" s="1730">
        <v>10</v>
      </c>
      <c r="B201" s="1675">
        <v>91140101</v>
      </c>
      <c r="C201" s="1729">
        <v>0.1</v>
      </c>
      <c r="D201" s="1638" t="s">
        <v>1442</v>
      </c>
      <c r="E201" s="2246">
        <v>75.75</v>
      </c>
      <c r="F201" s="893">
        <f>E201+SUMIF('11.2. Нови активи отч.год.'!$B$111:$B$131,$B201,'11.2. Нови активи отч.год.'!F$111:F$131)</f>
        <v>75.75</v>
      </c>
      <c r="G201" s="894">
        <f>F201+SUMIF('11.2. Нови активи отч.год.'!$B$111:$B$131,$B201,'11.2. Нови активи отч.год.'!G$111:G$131)</f>
        <v>75.75</v>
      </c>
      <c r="H201" s="894">
        <f>G201+SUMIF('11.2. Нови активи отч.год.'!$B$111:$B$131,$B201,'11.2. Нови активи отч.год.'!H$111:H$131)</f>
        <v>75.75</v>
      </c>
      <c r="I201" s="894">
        <f>H201+SUMIF('11.2. Нови активи отч.год.'!$B$111:$B$131,$B201,'11.2. Нови активи отч.год.'!I$111:I$131)</f>
        <v>75.75</v>
      </c>
      <c r="J201" s="894">
        <f>I201+SUMIF('11.2. Нови активи отч.год.'!$B$111:$B$131,$B201,'11.2. Нови активи отч.год.'!J$111:J$131)</f>
        <v>75.75</v>
      </c>
      <c r="K201" s="895">
        <f>J201+SUMIF('11.2. Нови активи отч.год.'!$B$111:$B$131,$B201,'11.2. Нови активи отч.год.'!K$111:K$131)</f>
        <v>75.75</v>
      </c>
      <c r="L201" s="2246">
        <v>0</v>
      </c>
      <c r="M201" s="893">
        <f>L201+SUMIF('11.2. Нови активи отч.год.'!$B$111:$B$131,$B201,'11.2. Нови активи отч.год.'!M$111:M$131)</f>
        <v>0</v>
      </c>
      <c r="N201" s="894">
        <f>M201+SUMIF('11.2. Нови активи отч.год.'!$B$111:$B$131,$B201,'11.2. Нови активи отч.год.'!N$111:N$131)</f>
        <v>0</v>
      </c>
      <c r="O201" s="894">
        <f>N201+SUMIF('11.2. Нови активи отч.год.'!$B$111:$B$131,$B201,'11.2. Нови активи отч.год.'!O$111:O$131)</f>
        <v>0</v>
      </c>
      <c r="P201" s="894">
        <f>O201+SUMIF('11.2. Нови активи отч.год.'!$B$111:$B$131,$B201,'11.2. Нови активи отч.год.'!P$111:P$131)</f>
        <v>0</v>
      </c>
      <c r="Q201" s="894">
        <f>P201+SUMIF('11.2. Нови активи отч.год.'!$B$111:$B$131,$B201,'11.2. Нови активи отч.год.'!Q$111:Q$131)</f>
        <v>0</v>
      </c>
      <c r="R201" s="895">
        <f>Q201+SUMIF('11.2. Нови активи отч.год.'!$B$111:$B$131,$B201,'11.2. Нови активи отч.год.'!R$111:R$131)</f>
        <v>0</v>
      </c>
      <c r="S201" s="2246">
        <v>0</v>
      </c>
      <c r="T201" s="893">
        <f>S201+SUMIF('11.2. Нови активи отч.год.'!$B$111:$B$131,$B201,'11.2. Нови активи отч.год.'!T$111:T$131)</f>
        <v>0</v>
      </c>
      <c r="U201" s="894">
        <f>T201+SUMIF('11.2. Нови активи отч.год.'!$B$111:$B$131,$B201,'11.2. Нови активи отч.год.'!U$111:U$131)</f>
        <v>0</v>
      </c>
      <c r="V201" s="894">
        <f>U201+SUMIF('11.2. Нови активи отч.год.'!$B$111:$B$131,$B201,'11.2. Нови активи отч.год.'!V$111:V$131)</f>
        <v>0</v>
      </c>
      <c r="W201" s="894">
        <f>V201+SUMIF('11.2. Нови активи отч.год.'!$B$111:$B$131,$B201,'11.2. Нови активи отч.год.'!W$111:W$131)</f>
        <v>0</v>
      </c>
      <c r="X201" s="894">
        <f>W201+SUMIF('11.2. Нови активи отч.год.'!$B$111:$B$131,$B201,'11.2. Нови активи отч.год.'!X$111:X$131)</f>
        <v>0</v>
      </c>
      <c r="Y201" s="895">
        <f>X201+SUMIF('11.2. Нови активи отч.год.'!$B$111:$B$131,$B201,'11.2. Нови активи отч.год.'!Y$111:Y$131)</f>
        <v>0</v>
      </c>
      <c r="Z201" s="1672"/>
      <c r="AA201" s="1703"/>
      <c r="AB201" s="1727"/>
    </row>
    <row r="202" spans="1:28" s="1643" customFormat="1">
      <c r="A202" s="1730">
        <v>11</v>
      </c>
      <c r="B202" s="1675">
        <v>91140102</v>
      </c>
      <c r="C202" s="1729">
        <v>0.04</v>
      </c>
      <c r="D202" s="1638" t="s">
        <v>604</v>
      </c>
      <c r="E202" s="2246">
        <v>1</v>
      </c>
      <c r="F202" s="893">
        <f>E202+SUMIF('11.2. Нови активи отч.год.'!$B$111:$B$131,$B202,'11.2. Нови активи отч.год.'!F$111:F$131)</f>
        <v>1</v>
      </c>
      <c r="G202" s="894">
        <f>F202+SUMIF('11.2. Нови активи отч.год.'!$B$111:$B$131,$B202,'11.2. Нови активи отч.год.'!G$111:G$131)</f>
        <v>1</v>
      </c>
      <c r="H202" s="894">
        <f>G202+SUMIF('11.2. Нови активи отч.год.'!$B$111:$B$131,$B202,'11.2. Нови активи отч.год.'!H$111:H$131)</f>
        <v>1</v>
      </c>
      <c r="I202" s="894">
        <f>H202+SUMIF('11.2. Нови активи отч.год.'!$B$111:$B$131,$B202,'11.2. Нови активи отч.год.'!I$111:I$131)</f>
        <v>1</v>
      </c>
      <c r="J202" s="894">
        <f>I202+SUMIF('11.2. Нови активи отч.год.'!$B$111:$B$131,$B202,'11.2. Нови активи отч.год.'!J$111:J$131)</f>
        <v>1</v>
      </c>
      <c r="K202" s="895">
        <f>J202+SUMIF('11.2. Нови активи отч.год.'!$B$111:$B$131,$B202,'11.2. Нови активи отч.год.'!K$111:K$131)</f>
        <v>1</v>
      </c>
      <c r="L202" s="2246">
        <v>0</v>
      </c>
      <c r="M202" s="893">
        <f>L202+SUMIF('11.2. Нови активи отч.год.'!$B$111:$B$131,$B202,'11.2. Нови активи отч.год.'!M$111:M$131)</f>
        <v>0</v>
      </c>
      <c r="N202" s="894">
        <f>M202+SUMIF('11.2. Нови активи отч.год.'!$B$111:$B$131,$B202,'11.2. Нови активи отч.год.'!N$111:N$131)</f>
        <v>0</v>
      </c>
      <c r="O202" s="894">
        <f>N202+SUMIF('11.2. Нови активи отч.год.'!$B$111:$B$131,$B202,'11.2. Нови активи отч.год.'!O$111:O$131)</f>
        <v>0</v>
      </c>
      <c r="P202" s="894">
        <f>O202+SUMIF('11.2. Нови активи отч.год.'!$B$111:$B$131,$B202,'11.2. Нови активи отч.год.'!P$111:P$131)</f>
        <v>0</v>
      </c>
      <c r="Q202" s="894">
        <f>P202+SUMIF('11.2. Нови активи отч.год.'!$B$111:$B$131,$B202,'11.2. Нови активи отч.год.'!Q$111:Q$131)</f>
        <v>0</v>
      </c>
      <c r="R202" s="895">
        <f>Q202+SUMIF('11.2. Нови активи отч.год.'!$B$111:$B$131,$B202,'11.2. Нови активи отч.год.'!R$111:R$131)</f>
        <v>0</v>
      </c>
      <c r="S202" s="2246">
        <v>0</v>
      </c>
      <c r="T202" s="893">
        <f>S202+SUMIF('11.2. Нови активи отч.год.'!$B$111:$B$131,$B202,'11.2. Нови активи отч.год.'!T$111:T$131)</f>
        <v>0</v>
      </c>
      <c r="U202" s="894">
        <f>T202+SUMIF('11.2. Нови активи отч.год.'!$B$111:$B$131,$B202,'11.2. Нови активи отч.год.'!U$111:U$131)</f>
        <v>0</v>
      </c>
      <c r="V202" s="894">
        <f>U202+SUMIF('11.2. Нови активи отч.год.'!$B$111:$B$131,$B202,'11.2. Нови активи отч.год.'!V$111:V$131)</f>
        <v>0</v>
      </c>
      <c r="W202" s="894">
        <f>V202+SUMIF('11.2. Нови активи отч.год.'!$B$111:$B$131,$B202,'11.2. Нови активи отч.год.'!W$111:W$131)</f>
        <v>0</v>
      </c>
      <c r="X202" s="894">
        <f>W202+SUMIF('11.2. Нови активи отч.год.'!$B$111:$B$131,$B202,'11.2. Нови активи отч.год.'!X$111:X$131)</f>
        <v>0</v>
      </c>
      <c r="Y202" s="895">
        <f>X202+SUMIF('11.2. Нови активи отч.год.'!$B$111:$B$131,$B202,'11.2. Нови активи отч.год.'!Y$111:Y$131)</f>
        <v>0</v>
      </c>
      <c r="Z202" s="1672"/>
      <c r="AA202" s="1703"/>
      <c r="AB202" s="1727"/>
    </row>
    <row r="203" spans="1:28" s="1643" customFormat="1">
      <c r="A203" s="1730">
        <v>12</v>
      </c>
      <c r="B203" s="1675" t="s">
        <v>951</v>
      </c>
      <c r="C203" s="1676">
        <v>0.02</v>
      </c>
      <c r="D203" s="1624" t="s">
        <v>1007</v>
      </c>
      <c r="E203" s="2246">
        <v>0</v>
      </c>
      <c r="F203" s="893">
        <f>E203+SUMIF('11.2. Нови активи отч.год.'!$B$111:$B$131,$B203,'11.2. Нови активи отч.год.'!F$111:F$131)</f>
        <v>0</v>
      </c>
      <c r="G203" s="894">
        <f>F203+SUMIF('11.2. Нови активи отч.год.'!$B$111:$B$131,$B203,'11.2. Нови активи отч.год.'!G$111:G$131)</f>
        <v>0</v>
      </c>
      <c r="H203" s="894">
        <f>G203+SUMIF('11.2. Нови активи отч.год.'!$B$111:$B$131,$B203,'11.2. Нови активи отч.год.'!H$111:H$131)</f>
        <v>0</v>
      </c>
      <c r="I203" s="894">
        <f>H203+SUMIF('11.2. Нови активи отч.год.'!$B$111:$B$131,$B203,'11.2. Нови активи отч.год.'!I$111:I$131)</f>
        <v>0</v>
      </c>
      <c r="J203" s="894">
        <f>I203+SUMIF('11.2. Нови активи отч.год.'!$B$111:$B$131,$B203,'11.2. Нови активи отч.год.'!J$111:J$131)</f>
        <v>0</v>
      </c>
      <c r="K203" s="895">
        <f>J203+SUMIF('11.2. Нови активи отч.год.'!$B$111:$B$131,$B203,'11.2. Нови активи отч.год.'!K$111:K$131)</f>
        <v>0</v>
      </c>
      <c r="L203" s="2246">
        <v>0</v>
      </c>
      <c r="M203" s="893">
        <f>L203+SUMIF('11.2. Нови активи отч.год.'!$B$111:$B$131,$B203,'11.2. Нови активи отч.год.'!M$111:M$131)</f>
        <v>0</v>
      </c>
      <c r="N203" s="894">
        <f>M203+SUMIF('11.2. Нови активи отч.год.'!$B$111:$B$131,$B203,'11.2. Нови активи отч.год.'!N$111:N$131)</f>
        <v>0</v>
      </c>
      <c r="O203" s="894">
        <f>N203+SUMIF('11.2. Нови активи отч.год.'!$B$111:$B$131,$B203,'11.2. Нови активи отч.год.'!O$111:O$131)</f>
        <v>0</v>
      </c>
      <c r="P203" s="894">
        <f>O203+SUMIF('11.2. Нови активи отч.год.'!$B$111:$B$131,$B203,'11.2. Нови активи отч.год.'!P$111:P$131)</f>
        <v>0</v>
      </c>
      <c r="Q203" s="894">
        <f>P203+SUMIF('11.2. Нови активи отч.год.'!$B$111:$B$131,$B203,'11.2. Нови активи отч.год.'!Q$111:Q$131)</f>
        <v>0</v>
      </c>
      <c r="R203" s="895">
        <f>Q203+SUMIF('11.2. Нови активи отч.год.'!$B$111:$B$131,$B203,'11.2. Нови активи отч.год.'!R$111:R$131)</f>
        <v>0</v>
      </c>
      <c r="S203" s="2246">
        <v>0</v>
      </c>
      <c r="T203" s="893">
        <f>S203+SUMIF('11.2. Нови активи отч.год.'!$B$111:$B$131,$B203,'11.2. Нови активи отч.год.'!T$111:T$131)</f>
        <v>0</v>
      </c>
      <c r="U203" s="894">
        <f>T203+SUMIF('11.2. Нови активи отч.год.'!$B$111:$B$131,$B203,'11.2. Нови активи отч.год.'!U$111:U$131)</f>
        <v>0</v>
      </c>
      <c r="V203" s="894">
        <f>U203+SUMIF('11.2. Нови активи отч.год.'!$B$111:$B$131,$B203,'11.2. Нови активи отч.год.'!V$111:V$131)</f>
        <v>0</v>
      </c>
      <c r="W203" s="894">
        <f>V203+SUMIF('11.2. Нови активи отч.год.'!$B$111:$B$131,$B203,'11.2. Нови активи отч.год.'!W$111:W$131)</f>
        <v>0</v>
      </c>
      <c r="X203" s="894">
        <f>W203+SUMIF('11.2. Нови активи отч.год.'!$B$111:$B$131,$B203,'11.2. Нови активи отч.год.'!X$111:X$131)</f>
        <v>0</v>
      </c>
      <c r="Y203" s="895">
        <f>X203+SUMIF('11.2. Нови активи отч.год.'!$B$111:$B$131,$B203,'11.2. Нови активи отч.год.'!Y$111:Y$131)</f>
        <v>0</v>
      </c>
      <c r="Z203" s="1672"/>
      <c r="AA203" s="1703"/>
      <c r="AB203" s="1727"/>
    </row>
    <row r="204" spans="1:28" s="1643" customFormat="1">
      <c r="A204" s="1730">
        <v>13</v>
      </c>
      <c r="B204" s="1675" t="s">
        <v>952</v>
      </c>
      <c r="C204" s="1676">
        <v>0.02</v>
      </c>
      <c r="D204" s="1624" t="s">
        <v>1008</v>
      </c>
      <c r="E204" s="2246">
        <v>2593.4</v>
      </c>
      <c r="F204" s="893">
        <f>E204+SUMIF('11.2. Нови активи отч.год.'!$B$111:$B$131,$B204,'11.2. Нови активи отч.год.'!F$111:F$131)</f>
        <v>2593.4</v>
      </c>
      <c r="G204" s="894">
        <f>F204+SUMIF('11.2. Нови активи отч.год.'!$B$111:$B$131,$B204,'11.2. Нови активи отч.год.'!G$111:G$131)</f>
        <v>2593.4</v>
      </c>
      <c r="H204" s="894">
        <f>G204+SUMIF('11.2. Нови активи отч.год.'!$B$111:$B$131,$B204,'11.2. Нови активи отч.год.'!H$111:H$131)</f>
        <v>2593.4</v>
      </c>
      <c r="I204" s="894">
        <f>H204+SUMIF('11.2. Нови активи отч.год.'!$B$111:$B$131,$B204,'11.2. Нови активи отч.год.'!I$111:I$131)</f>
        <v>2593.4</v>
      </c>
      <c r="J204" s="894">
        <f>I204+SUMIF('11.2. Нови активи отч.год.'!$B$111:$B$131,$B204,'11.2. Нови активи отч.год.'!J$111:J$131)</f>
        <v>2593.4</v>
      </c>
      <c r="K204" s="895">
        <f>J204+SUMIF('11.2. Нови активи отч.год.'!$B$111:$B$131,$B204,'11.2. Нови активи отч.год.'!K$111:K$131)</f>
        <v>2593.4</v>
      </c>
      <c r="L204" s="2246">
        <v>0</v>
      </c>
      <c r="M204" s="893">
        <f>L204+SUMIF('11.2. Нови активи отч.год.'!$B$111:$B$131,$B204,'11.2. Нови активи отч.год.'!M$111:M$131)</f>
        <v>0</v>
      </c>
      <c r="N204" s="894">
        <f>M204+SUMIF('11.2. Нови активи отч.год.'!$B$111:$B$131,$B204,'11.2. Нови активи отч.год.'!N$111:N$131)</f>
        <v>0</v>
      </c>
      <c r="O204" s="894">
        <f>N204+SUMIF('11.2. Нови активи отч.год.'!$B$111:$B$131,$B204,'11.2. Нови активи отч.год.'!O$111:O$131)</f>
        <v>0</v>
      </c>
      <c r="P204" s="894">
        <f>O204+SUMIF('11.2. Нови активи отч.год.'!$B$111:$B$131,$B204,'11.2. Нови активи отч.год.'!P$111:P$131)</f>
        <v>0</v>
      </c>
      <c r="Q204" s="894">
        <f>P204+SUMIF('11.2. Нови активи отч.год.'!$B$111:$B$131,$B204,'11.2. Нови активи отч.год.'!Q$111:Q$131)</f>
        <v>0</v>
      </c>
      <c r="R204" s="895">
        <f>Q204+SUMIF('11.2. Нови активи отч.год.'!$B$111:$B$131,$B204,'11.2. Нови активи отч.год.'!R$111:R$131)</f>
        <v>0</v>
      </c>
      <c r="S204" s="2246">
        <v>0</v>
      </c>
      <c r="T204" s="893">
        <f>S204+SUMIF('11.2. Нови активи отч.год.'!$B$111:$B$131,$B204,'11.2. Нови активи отч.год.'!T$111:T$131)</f>
        <v>0</v>
      </c>
      <c r="U204" s="894">
        <f>T204+SUMIF('11.2. Нови активи отч.год.'!$B$111:$B$131,$B204,'11.2. Нови активи отч.год.'!U$111:U$131)</f>
        <v>0</v>
      </c>
      <c r="V204" s="894">
        <f>U204+SUMIF('11.2. Нови активи отч.год.'!$B$111:$B$131,$B204,'11.2. Нови активи отч.год.'!V$111:V$131)</f>
        <v>0</v>
      </c>
      <c r="W204" s="894">
        <f>V204+SUMIF('11.2. Нови активи отч.год.'!$B$111:$B$131,$B204,'11.2. Нови активи отч.год.'!W$111:W$131)</f>
        <v>0</v>
      </c>
      <c r="X204" s="894">
        <f>W204+SUMIF('11.2. Нови активи отч.год.'!$B$111:$B$131,$B204,'11.2. Нови активи отч.год.'!X$111:X$131)</f>
        <v>0</v>
      </c>
      <c r="Y204" s="895">
        <f>X204+SUMIF('11.2. Нови активи отч.год.'!$B$111:$B$131,$B204,'11.2. Нови активи отч.год.'!Y$111:Y$131)</f>
        <v>0</v>
      </c>
      <c r="Z204" s="1672"/>
      <c r="AA204" s="1703"/>
      <c r="AB204" s="1727"/>
    </row>
    <row r="205" spans="1:28" s="1643" customFormat="1">
      <c r="A205" s="1730">
        <v>14</v>
      </c>
      <c r="B205" s="1675" t="s">
        <v>953</v>
      </c>
      <c r="C205" s="1676">
        <v>0.02</v>
      </c>
      <c r="D205" s="1624" t="s">
        <v>590</v>
      </c>
      <c r="E205" s="2246">
        <v>131.5</v>
      </c>
      <c r="F205" s="893">
        <f>E205+SUMIF('11.2. Нови активи отч.год.'!$B$111:$B$131,$B205,'11.2. Нови активи отч.год.'!F$111:F$131)</f>
        <v>131.5</v>
      </c>
      <c r="G205" s="894">
        <f>F205+SUMIF('11.2. Нови активи отч.год.'!$B$111:$B$131,$B205,'11.2. Нови активи отч.год.'!G$111:G$131)</f>
        <v>131.5</v>
      </c>
      <c r="H205" s="894">
        <f>G205+SUMIF('11.2. Нови активи отч.год.'!$B$111:$B$131,$B205,'11.2. Нови активи отч.год.'!H$111:H$131)</f>
        <v>131.5</v>
      </c>
      <c r="I205" s="894">
        <f>H205+SUMIF('11.2. Нови активи отч.год.'!$B$111:$B$131,$B205,'11.2. Нови активи отч.год.'!I$111:I$131)</f>
        <v>131.5</v>
      </c>
      <c r="J205" s="894">
        <f>I205+SUMIF('11.2. Нови активи отч.год.'!$B$111:$B$131,$B205,'11.2. Нови активи отч.год.'!J$111:J$131)</f>
        <v>131.5</v>
      </c>
      <c r="K205" s="895">
        <f>J205+SUMIF('11.2. Нови активи отч.год.'!$B$111:$B$131,$B205,'11.2. Нови активи отч.год.'!K$111:K$131)</f>
        <v>131.5</v>
      </c>
      <c r="L205" s="2246">
        <v>0</v>
      </c>
      <c r="M205" s="893">
        <f>L205+SUMIF('11.2. Нови активи отч.год.'!$B$111:$B$131,$B205,'11.2. Нови активи отч.год.'!M$111:M$131)</f>
        <v>0</v>
      </c>
      <c r="N205" s="894">
        <f>M205+SUMIF('11.2. Нови активи отч.год.'!$B$111:$B$131,$B205,'11.2. Нови активи отч.год.'!N$111:N$131)</f>
        <v>0</v>
      </c>
      <c r="O205" s="894">
        <f>N205+SUMIF('11.2. Нови активи отч.год.'!$B$111:$B$131,$B205,'11.2. Нови активи отч.год.'!O$111:O$131)</f>
        <v>0</v>
      </c>
      <c r="P205" s="894">
        <f>O205+SUMIF('11.2. Нови активи отч.год.'!$B$111:$B$131,$B205,'11.2. Нови активи отч.год.'!P$111:P$131)</f>
        <v>0</v>
      </c>
      <c r="Q205" s="894">
        <f>P205+SUMIF('11.2. Нови активи отч.год.'!$B$111:$B$131,$B205,'11.2. Нови активи отч.год.'!Q$111:Q$131)</f>
        <v>0</v>
      </c>
      <c r="R205" s="895">
        <f>Q205+SUMIF('11.2. Нови активи отч.год.'!$B$111:$B$131,$B205,'11.2. Нови активи отч.год.'!R$111:R$131)</f>
        <v>0</v>
      </c>
      <c r="S205" s="2246">
        <v>0</v>
      </c>
      <c r="T205" s="893">
        <f>S205+SUMIF('11.2. Нови активи отч.год.'!$B$111:$B$131,$B205,'11.2. Нови активи отч.год.'!T$111:T$131)</f>
        <v>0</v>
      </c>
      <c r="U205" s="894">
        <f>T205+SUMIF('11.2. Нови активи отч.год.'!$B$111:$B$131,$B205,'11.2. Нови активи отч.год.'!U$111:U$131)</f>
        <v>0</v>
      </c>
      <c r="V205" s="894">
        <f>U205+SUMIF('11.2. Нови активи отч.год.'!$B$111:$B$131,$B205,'11.2. Нови активи отч.год.'!V$111:V$131)</f>
        <v>0</v>
      </c>
      <c r="W205" s="894">
        <f>V205+SUMIF('11.2. Нови активи отч.год.'!$B$111:$B$131,$B205,'11.2. Нови активи отч.год.'!W$111:W$131)</f>
        <v>0</v>
      </c>
      <c r="X205" s="894">
        <f>W205+SUMIF('11.2. Нови активи отч.год.'!$B$111:$B$131,$B205,'11.2. Нови активи отч.год.'!X$111:X$131)</f>
        <v>0</v>
      </c>
      <c r="Y205" s="895">
        <f>X205+SUMIF('11.2. Нови активи отч.год.'!$B$111:$B$131,$B205,'11.2. Нови активи отч.год.'!Y$111:Y$131)</f>
        <v>0</v>
      </c>
      <c r="Z205" s="1672"/>
      <c r="AA205" s="1703"/>
      <c r="AB205" s="1727"/>
    </row>
    <row r="206" spans="1:28" s="1643" customFormat="1">
      <c r="A206" s="1730">
        <v>15</v>
      </c>
      <c r="B206" s="1675" t="s">
        <v>954</v>
      </c>
      <c r="C206" s="1676">
        <v>0.02</v>
      </c>
      <c r="D206" s="1638" t="s">
        <v>591</v>
      </c>
      <c r="E206" s="2246">
        <v>154.69999999999999</v>
      </c>
      <c r="F206" s="893">
        <f>E206+SUMIF('11.2. Нови активи отч.год.'!$B$111:$B$131,$B206,'11.2. Нови активи отч.год.'!F$111:F$131)</f>
        <v>154.69999999999999</v>
      </c>
      <c r="G206" s="894">
        <f>F206+SUMIF('11.2. Нови активи отч.год.'!$B$111:$B$131,$B206,'11.2. Нови активи отч.год.'!G$111:G$131)</f>
        <v>154.69999999999999</v>
      </c>
      <c r="H206" s="894">
        <f>G206+SUMIF('11.2. Нови активи отч.год.'!$B$111:$B$131,$B206,'11.2. Нови активи отч.год.'!H$111:H$131)</f>
        <v>154.69999999999999</v>
      </c>
      <c r="I206" s="894">
        <f>H206+SUMIF('11.2. Нови активи отч.год.'!$B$111:$B$131,$B206,'11.2. Нови активи отч.год.'!I$111:I$131)</f>
        <v>154.69999999999999</v>
      </c>
      <c r="J206" s="894">
        <f>I206+SUMIF('11.2. Нови активи отч.год.'!$B$111:$B$131,$B206,'11.2. Нови активи отч.год.'!J$111:J$131)</f>
        <v>154.69999999999999</v>
      </c>
      <c r="K206" s="895">
        <f>J206+SUMIF('11.2. Нови активи отч.год.'!$B$111:$B$131,$B206,'11.2. Нови активи отч.год.'!K$111:K$131)</f>
        <v>154.69999999999999</v>
      </c>
      <c r="L206" s="2246">
        <v>0</v>
      </c>
      <c r="M206" s="893">
        <f>L206+SUMIF('11.2. Нови активи отч.год.'!$B$111:$B$131,$B206,'11.2. Нови активи отч.год.'!M$111:M$131)</f>
        <v>0</v>
      </c>
      <c r="N206" s="894">
        <f>M206+SUMIF('11.2. Нови активи отч.год.'!$B$111:$B$131,$B206,'11.2. Нови активи отч.год.'!N$111:N$131)</f>
        <v>0</v>
      </c>
      <c r="O206" s="894">
        <f>N206+SUMIF('11.2. Нови активи отч.год.'!$B$111:$B$131,$B206,'11.2. Нови активи отч.год.'!O$111:O$131)</f>
        <v>0</v>
      </c>
      <c r="P206" s="894">
        <f>O206+SUMIF('11.2. Нови активи отч.год.'!$B$111:$B$131,$B206,'11.2. Нови активи отч.год.'!P$111:P$131)</f>
        <v>0</v>
      </c>
      <c r="Q206" s="894">
        <f>P206+SUMIF('11.2. Нови активи отч.год.'!$B$111:$B$131,$B206,'11.2. Нови активи отч.год.'!Q$111:Q$131)</f>
        <v>0</v>
      </c>
      <c r="R206" s="895">
        <f>Q206+SUMIF('11.2. Нови активи отч.год.'!$B$111:$B$131,$B206,'11.2. Нови активи отч.год.'!R$111:R$131)</f>
        <v>0</v>
      </c>
      <c r="S206" s="2246">
        <v>0</v>
      </c>
      <c r="T206" s="893">
        <f>S206+SUMIF('11.2. Нови активи отч.год.'!$B$111:$B$131,$B206,'11.2. Нови активи отч.год.'!T$111:T$131)</f>
        <v>0</v>
      </c>
      <c r="U206" s="894">
        <f>T206+SUMIF('11.2. Нови активи отч.год.'!$B$111:$B$131,$B206,'11.2. Нови активи отч.год.'!U$111:U$131)</f>
        <v>0</v>
      </c>
      <c r="V206" s="894">
        <f>U206+SUMIF('11.2. Нови активи отч.год.'!$B$111:$B$131,$B206,'11.2. Нови активи отч.год.'!V$111:V$131)</f>
        <v>0</v>
      </c>
      <c r="W206" s="894">
        <f>V206+SUMIF('11.2. Нови активи отч.год.'!$B$111:$B$131,$B206,'11.2. Нови активи отч.год.'!W$111:W$131)</f>
        <v>0</v>
      </c>
      <c r="X206" s="894">
        <f>W206+SUMIF('11.2. Нови активи отч.год.'!$B$111:$B$131,$B206,'11.2. Нови активи отч.год.'!X$111:X$131)</f>
        <v>0</v>
      </c>
      <c r="Y206" s="895">
        <f>X206+SUMIF('11.2. Нови активи отч.год.'!$B$111:$B$131,$B206,'11.2. Нови активи отч.год.'!Y$111:Y$131)</f>
        <v>0</v>
      </c>
      <c r="Z206" s="1672"/>
      <c r="AA206" s="1703"/>
      <c r="AB206" s="1727"/>
    </row>
    <row r="207" spans="1:28" s="1643" customFormat="1">
      <c r="A207" s="1730">
        <v>16</v>
      </c>
      <c r="B207" s="1675" t="s">
        <v>955</v>
      </c>
      <c r="C207" s="1676">
        <v>0.02</v>
      </c>
      <c r="D207" s="1624" t="s">
        <v>592</v>
      </c>
      <c r="E207" s="2246">
        <v>25010</v>
      </c>
      <c r="F207" s="893">
        <f>E207+SUMIF('11.2. Нови активи отч.год.'!$B$111:$B$131,$B207,'11.2. Нови активи отч.год.'!F$111:F$131)</f>
        <v>25010</v>
      </c>
      <c r="G207" s="894">
        <f>F207+SUMIF('11.2. Нови активи отч.год.'!$B$111:$B$131,$B207,'11.2. Нови активи отч.год.'!G$111:G$131)</f>
        <v>25010</v>
      </c>
      <c r="H207" s="894">
        <f>G207+SUMIF('11.2. Нови активи отч.год.'!$B$111:$B$131,$B207,'11.2. Нови активи отч.год.'!H$111:H$131)</f>
        <v>25010</v>
      </c>
      <c r="I207" s="894">
        <f>H207+SUMIF('11.2. Нови активи отч.год.'!$B$111:$B$131,$B207,'11.2. Нови активи отч.год.'!I$111:I$131)</f>
        <v>25010</v>
      </c>
      <c r="J207" s="894">
        <f>I207+SUMIF('11.2. Нови активи отч.год.'!$B$111:$B$131,$B207,'11.2. Нови активи отч.год.'!J$111:J$131)</f>
        <v>25010</v>
      </c>
      <c r="K207" s="895">
        <f>J207+SUMIF('11.2. Нови активи отч.год.'!$B$111:$B$131,$B207,'11.2. Нови активи отч.год.'!K$111:K$131)</f>
        <v>25010</v>
      </c>
      <c r="L207" s="2246">
        <v>0</v>
      </c>
      <c r="M207" s="893">
        <f>L207+SUMIF('11.2. Нови активи отч.год.'!$B$111:$B$131,$B207,'11.2. Нови активи отч.год.'!M$111:M$131)</f>
        <v>0</v>
      </c>
      <c r="N207" s="894">
        <f>M207+SUMIF('11.2. Нови активи отч.год.'!$B$111:$B$131,$B207,'11.2. Нови активи отч.год.'!N$111:N$131)</f>
        <v>0</v>
      </c>
      <c r="O207" s="894">
        <f>N207+SUMIF('11.2. Нови активи отч.год.'!$B$111:$B$131,$B207,'11.2. Нови активи отч.год.'!O$111:O$131)</f>
        <v>0</v>
      </c>
      <c r="P207" s="894">
        <f>O207+SUMIF('11.2. Нови активи отч.год.'!$B$111:$B$131,$B207,'11.2. Нови активи отч.год.'!P$111:P$131)</f>
        <v>0</v>
      </c>
      <c r="Q207" s="894">
        <f>P207+SUMIF('11.2. Нови активи отч.год.'!$B$111:$B$131,$B207,'11.2. Нови активи отч.год.'!Q$111:Q$131)</f>
        <v>0</v>
      </c>
      <c r="R207" s="895">
        <f>Q207+SUMIF('11.2. Нови активи отч.год.'!$B$111:$B$131,$B207,'11.2. Нови активи отч.год.'!R$111:R$131)</f>
        <v>0</v>
      </c>
      <c r="S207" s="2246">
        <v>0</v>
      </c>
      <c r="T207" s="893">
        <f>S207+SUMIF('11.2. Нови активи отч.год.'!$B$111:$B$131,$B207,'11.2. Нови активи отч.год.'!T$111:T$131)</f>
        <v>0</v>
      </c>
      <c r="U207" s="894">
        <f>T207+SUMIF('11.2. Нови активи отч.год.'!$B$111:$B$131,$B207,'11.2. Нови активи отч.год.'!U$111:U$131)</f>
        <v>0</v>
      </c>
      <c r="V207" s="894">
        <f>U207+SUMIF('11.2. Нови активи отч.год.'!$B$111:$B$131,$B207,'11.2. Нови активи отч.год.'!V$111:V$131)</f>
        <v>0</v>
      </c>
      <c r="W207" s="894">
        <f>V207+SUMIF('11.2. Нови активи отч.год.'!$B$111:$B$131,$B207,'11.2. Нови активи отч.год.'!W$111:W$131)</f>
        <v>0</v>
      </c>
      <c r="X207" s="894">
        <f>W207+SUMIF('11.2. Нови активи отч.год.'!$B$111:$B$131,$B207,'11.2. Нови активи отч.год.'!X$111:X$131)</f>
        <v>0</v>
      </c>
      <c r="Y207" s="895">
        <f>X207+SUMIF('11.2. Нови активи отч.год.'!$B$111:$B$131,$B207,'11.2. Нови активи отч.год.'!Y$111:Y$131)</f>
        <v>0</v>
      </c>
      <c r="Z207" s="1672"/>
      <c r="AA207" s="1703"/>
      <c r="AB207" s="1727"/>
    </row>
    <row r="208" spans="1:28" s="1643" customFormat="1">
      <c r="A208" s="1730">
        <v>17</v>
      </c>
      <c r="B208" s="1675" t="s">
        <v>956</v>
      </c>
      <c r="C208" s="1676">
        <v>0.02</v>
      </c>
      <c r="D208" s="1626" t="s">
        <v>593</v>
      </c>
      <c r="E208" s="2246">
        <v>0</v>
      </c>
      <c r="F208" s="893">
        <f>E208+SUMIF('11.2. Нови активи отч.год.'!$B$111:$B$131,$B208,'11.2. Нови активи отч.год.'!F$111:F$131)</f>
        <v>0</v>
      </c>
      <c r="G208" s="894">
        <f>F208+SUMIF('11.2. Нови активи отч.год.'!$B$111:$B$131,$B208,'11.2. Нови активи отч.год.'!G$111:G$131)</f>
        <v>0</v>
      </c>
      <c r="H208" s="894">
        <f>G208+SUMIF('11.2. Нови активи отч.год.'!$B$111:$B$131,$B208,'11.2. Нови активи отч.год.'!H$111:H$131)</f>
        <v>0</v>
      </c>
      <c r="I208" s="894">
        <f>H208+SUMIF('11.2. Нови активи отч.год.'!$B$111:$B$131,$B208,'11.2. Нови активи отч.год.'!I$111:I$131)</f>
        <v>0</v>
      </c>
      <c r="J208" s="894">
        <f>I208+SUMIF('11.2. Нови активи отч.год.'!$B$111:$B$131,$B208,'11.2. Нови активи отч.год.'!J$111:J$131)</f>
        <v>0</v>
      </c>
      <c r="K208" s="895">
        <f>J208+SUMIF('11.2. Нови активи отч.год.'!$B$111:$B$131,$B208,'11.2. Нови активи отч.год.'!K$111:K$131)</f>
        <v>0</v>
      </c>
      <c r="L208" s="2246">
        <v>16173</v>
      </c>
      <c r="M208" s="893">
        <f>L208+SUMIF('11.2. Нови активи отч.год.'!$B$111:$B$131,$B208,'11.2. Нови активи отч.год.'!M$111:M$131)</f>
        <v>16173</v>
      </c>
      <c r="N208" s="894">
        <f>M208+SUMIF('11.2. Нови активи отч.год.'!$B$111:$B$131,$B208,'11.2. Нови активи отч.год.'!N$111:N$131)</f>
        <v>16173</v>
      </c>
      <c r="O208" s="894">
        <f>N208+SUMIF('11.2. Нови активи отч.год.'!$B$111:$B$131,$B208,'11.2. Нови активи отч.год.'!O$111:O$131)</f>
        <v>16173</v>
      </c>
      <c r="P208" s="894">
        <f>O208+SUMIF('11.2. Нови активи отч.год.'!$B$111:$B$131,$B208,'11.2. Нови активи отч.год.'!P$111:P$131)</f>
        <v>16173</v>
      </c>
      <c r="Q208" s="894">
        <f>P208+SUMIF('11.2. Нови активи отч.год.'!$B$111:$B$131,$B208,'11.2. Нови активи отч.год.'!Q$111:Q$131)</f>
        <v>16173</v>
      </c>
      <c r="R208" s="895">
        <f>Q208+SUMIF('11.2. Нови активи отч.год.'!$B$111:$B$131,$B208,'11.2. Нови активи отч.год.'!R$111:R$131)</f>
        <v>16173</v>
      </c>
      <c r="S208" s="2246">
        <v>0</v>
      </c>
      <c r="T208" s="893">
        <f>S208+SUMIF('11.2. Нови активи отч.год.'!$B$111:$B$131,$B208,'11.2. Нови активи отч.год.'!T$111:T$131)</f>
        <v>0</v>
      </c>
      <c r="U208" s="894">
        <f>T208+SUMIF('11.2. Нови активи отч.год.'!$B$111:$B$131,$B208,'11.2. Нови активи отч.год.'!U$111:U$131)</f>
        <v>0</v>
      </c>
      <c r="V208" s="894">
        <f>U208+SUMIF('11.2. Нови активи отч.год.'!$B$111:$B$131,$B208,'11.2. Нови активи отч.год.'!V$111:V$131)</f>
        <v>0</v>
      </c>
      <c r="W208" s="894">
        <f>V208+SUMIF('11.2. Нови активи отч.год.'!$B$111:$B$131,$B208,'11.2. Нови активи отч.год.'!W$111:W$131)</f>
        <v>0</v>
      </c>
      <c r="X208" s="894">
        <f>W208+SUMIF('11.2. Нови активи отч.год.'!$B$111:$B$131,$B208,'11.2. Нови активи отч.год.'!X$111:X$131)</f>
        <v>0</v>
      </c>
      <c r="Y208" s="895">
        <f>X208+SUMIF('11.2. Нови активи отч.год.'!$B$111:$B$131,$B208,'11.2. Нови активи отч.год.'!Y$111:Y$131)</f>
        <v>0</v>
      </c>
      <c r="Z208" s="1672"/>
      <c r="AA208" s="1703"/>
      <c r="AB208" s="1727"/>
    </row>
    <row r="209" spans="1:28" s="1643" customFormat="1" ht="24">
      <c r="A209" s="1730">
        <v>18</v>
      </c>
      <c r="B209" s="1675" t="s">
        <v>957</v>
      </c>
      <c r="C209" s="1676">
        <v>0.04</v>
      </c>
      <c r="D209" s="1626" t="s">
        <v>594</v>
      </c>
      <c r="E209" s="2246">
        <v>0</v>
      </c>
      <c r="F209" s="893">
        <f>E209+SUMIF('11.2. Нови активи отч.год.'!$B$111:$B$131,$B209,'11.2. Нови активи отч.год.'!F$111:F$131)</f>
        <v>0</v>
      </c>
      <c r="G209" s="894">
        <f>F209+SUMIF('11.2. Нови активи отч.год.'!$B$111:$B$131,$B209,'11.2. Нови активи отч.год.'!G$111:G$131)</f>
        <v>0</v>
      </c>
      <c r="H209" s="894">
        <f>G209+SUMIF('11.2. Нови активи отч.год.'!$B$111:$B$131,$B209,'11.2. Нови активи отч.год.'!H$111:H$131)</f>
        <v>0</v>
      </c>
      <c r="I209" s="894">
        <f>H209+SUMIF('11.2. Нови активи отч.год.'!$B$111:$B$131,$B209,'11.2. Нови активи отч.год.'!I$111:I$131)</f>
        <v>0</v>
      </c>
      <c r="J209" s="894">
        <f>I209+SUMIF('11.2. Нови активи отч.год.'!$B$111:$B$131,$B209,'11.2. Нови активи отч.год.'!J$111:J$131)</f>
        <v>0</v>
      </c>
      <c r="K209" s="895">
        <f>J209+SUMIF('11.2. Нови активи отч.год.'!$B$111:$B$131,$B209,'11.2. Нови активи отч.год.'!K$111:K$131)</f>
        <v>0</v>
      </c>
      <c r="L209" s="2246">
        <v>0</v>
      </c>
      <c r="M209" s="893">
        <f>L209+SUMIF('11.2. Нови активи отч.год.'!$B$111:$B$131,$B209,'11.2. Нови активи отч.год.'!M$111:M$131)</f>
        <v>0</v>
      </c>
      <c r="N209" s="894">
        <f>M209+SUMIF('11.2. Нови активи отч.год.'!$B$111:$B$131,$B209,'11.2. Нови активи отч.год.'!N$111:N$131)</f>
        <v>0</v>
      </c>
      <c r="O209" s="894">
        <f>N209+SUMIF('11.2. Нови активи отч.год.'!$B$111:$B$131,$B209,'11.2. Нови активи отч.год.'!O$111:O$131)</f>
        <v>0</v>
      </c>
      <c r="P209" s="894">
        <f>O209+SUMIF('11.2. Нови активи отч.год.'!$B$111:$B$131,$B209,'11.2. Нови активи отч.год.'!P$111:P$131)</f>
        <v>0</v>
      </c>
      <c r="Q209" s="894">
        <f>P209+SUMIF('11.2. Нови активи отч.год.'!$B$111:$B$131,$B209,'11.2. Нови активи отч.год.'!Q$111:Q$131)</f>
        <v>0</v>
      </c>
      <c r="R209" s="895">
        <f>Q209+SUMIF('11.2. Нови активи отч.год.'!$B$111:$B$131,$B209,'11.2. Нови активи отч.год.'!R$111:R$131)</f>
        <v>0</v>
      </c>
      <c r="S209" s="2246">
        <v>28060</v>
      </c>
      <c r="T209" s="893">
        <f>S209+SUMIF('11.2. Нови активи отч.год.'!$B$111:$B$131,$B209,'11.2. Нови активи отч.год.'!T$111:T$131)</f>
        <v>28060</v>
      </c>
      <c r="U209" s="894">
        <f>T209+SUMIF('11.2. Нови активи отч.год.'!$B$111:$B$131,$B209,'11.2. Нови активи отч.год.'!U$111:U$131)</f>
        <v>28060</v>
      </c>
      <c r="V209" s="894">
        <f>U209+SUMIF('11.2. Нови активи отч.год.'!$B$111:$B$131,$B209,'11.2. Нови активи отч.год.'!V$111:V$131)</f>
        <v>28060</v>
      </c>
      <c r="W209" s="894">
        <f>V209+SUMIF('11.2. Нови активи отч.год.'!$B$111:$B$131,$B209,'11.2. Нови активи отч.год.'!W$111:W$131)</f>
        <v>28060</v>
      </c>
      <c r="X209" s="894">
        <f>W209+SUMIF('11.2. Нови активи отч.год.'!$B$111:$B$131,$B209,'11.2. Нови активи отч.год.'!X$111:X$131)</f>
        <v>28060</v>
      </c>
      <c r="Y209" s="895">
        <f>X209+SUMIF('11.2. Нови активи отч.год.'!$B$111:$B$131,$B209,'11.2. Нови активи отч.год.'!Y$111:Y$131)</f>
        <v>28060</v>
      </c>
      <c r="Z209" s="1672"/>
      <c r="AA209" s="1703"/>
      <c r="AB209" s="1727"/>
    </row>
    <row r="210" spans="1:28" s="1643" customFormat="1">
      <c r="A210" s="1730">
        <v>19</v>
      </c>
      <c r="B210" s="1675" t="s">
        <v>958</v>
      </c>
      <c r="C210" s="1676">
        <v>0.04</v>
      </c>
      <c r="D210" s="1626" t="s">
        <v>595</v>
      </c>
      <c r="E210" s="2246">
        <v>173</v>
      </c>
      <c r="F210" s="893">
        <f>E210+SUMIF('11.2. Нови активи отч.год.'!$B$111:$B$131,$B210,'11.2. Нови активи отч.год.'!F$111:F$131)</f>
        <v>173</v>
      </c>
      <c r="G210" s="894">
        <f>F210+SUMIF('11.2. Нови активи отч.год.'!$B$111:$B$131,$B210,'11.2. Нови активи отч.год.'!G$111:G$131)</f>
        <v>173</v>
      </c>
      <c r="H210" s="894">
        <f>G210+SUMIF('11.2. Нови активи отч.год.'!$B$111:$B$131,$B210,'11.2. Нови активи отч.год.'!H$111:H$131)</f>
        <v>173</v>
      </c>
      <c r="I210" s="894">
        <f>H210+SUMIF('11.2. Нови активи отч.год.'!$B$111:$B$131,$B210,'11.2. Нови активи отч.год.'!I$111:I$131)</f>
        <v>173</v>
      </c>
      <c r="J210" s="894">
        <f>I210+SUMIF('11.2. Нови активи отч.год.'!$B$111:$B$131,$B210,'11.2. Нови активи отч.год.'!J$111:J$131)</f>
        <v>173</v>
      </c>
      <c r="K210" s="895">
        <f>J210+SUMIF('11.2. Нови активи отч.год.'!$B$111:$B$131,$B210,'11.2. Нови активи отч.год.'!K$111:K$131)</f>
        <v>173</v>
      </c>
      <c r="L210" s="2246">
        <v>0</v>
      </c>
      <c r="M210" s="893">
        <f>L210+SUMIF('11.2. Нови активи отч.год.'!$B$111:$B$131,$B210,'11.2. Нови активи отч.год.'!M$111:M$131)</f>
        <v>0</v>
      </c>
      <c r="N210" s="894">
        <f>M210+SUMIF('11.2. Нови активи отч.год.'!$B$111:$B$131,$B210,'11.2. Нови активи отч.год.'!N$111:N$131)</f>
        <v>0</v>
      </c>
      <c r="O210" s="894">
        <f>N210+SUMIF('11.2. Нови активи отч.год.'!$B$111:$B$131,$B210,'11.2. Нови активи отч.год.'!O$111:O$131)</f>
        <v>0</v>
      </c>
      <c r="P210" s="894">
        <f>O210+SUMIF('11.2. Нови активи отч.год.'!$B$111:$B$131,$B210,'11.2. Нови активи отч.год.'!P$111:P$131)</f>
        <v>0</v>
      </c>
      <c r="Q210" s="894">
        <f>P210+SUMIF('11.2. Нови активи отч.год.'!$B$111:$B$131,$B210,'11.2. Нови активи отч.год.'!Q$111:Q$131)</f>
        <v>0</v>
      </c>
      <c r="R210" s="895">
        <f>Q210+SUMIF('11.2. Нови активи отч.год.'!$B$111:$B$131,$B210,'11.2. Нови активи отч.год.'!R$111:R$131)</f>
        <v>0</v>
      </c>
      <c r="S210" s="2246">
        <v>0</v>
      </c>
      <c r="T210" s="893">
        <f>S210+SUMIF('11.2. Нови активи отч.год.'!$B$111:$B$131,$B210,'11.2. Нови активи отч.год.'!T$111:T$131)</f>
        <v>0</v>
      </c>
      <c r="U210" s="894">
        <f>T210+SUMIF('11.2. Нови активи отч.год.'!$B$111:$B$131,$B210,'11.2. Нови активи отч.год.'!U$111:U$131)</f>
        <v>0</v>
      </c>
      <c r="V210" s="894">
        <f>U210+SUMIF('11.2. Нови активи отч.год.'!$B$111:$B$131,$B210,'11.2. Нови активи отч.год.'!V$111:V$131)</f>
        <v>0</v>
      </c>
      <c r="W210" s="894">
        <f>V210+SUMIF('11.2. Нови активи отч.год.'!$B$111:$B$131,$B210,'11.2. Нови активи отч.год.'!W$111:W$131)</f>
        <v>0</v>
      </c>
      <c r="X210" s="894">
        <f>W210+SUMIF('11.2. Нови активи отч.год.'!$B$111:$B$131,$B210,'11.2. Нови активи отч.год.'!X$111:X$131)</f>
        <v>0</v>
      </c>
      <c r="Y210" s="895">
        <f>X210+SUMIF('11.2. Нови активи отч.год.'!$B$111:$B$131,$B210,'11.2. Нови активи отч.год.'!Y$111:Y$131)</f>
        <v>0</v>
      </c>
      <c r="Z210" s="1672"/>
      <c r="AA210" s="1703"/>
      <c r="AB210" s="1727"/>
    </row>
    <row r="211" spans="1:28" s="1643" customFormat="1">
      <c r="A211" s="1730">
        <v>20</v>
      </c>
      <c r="B211" s="1675" t="s">
        <v>970</v>
      </c>
      <c r="C211" s="1676">
        <v>0.04</v>
      </c>
      <c r="D211" s="1728" t="s">
        <v>606</v>
      </c>
      <c r="E211" s="2246">
        <v>347</v>
      </c>
      <c r="F211" s="893">
        <f>E211+SUMIF('11.2. Нови активи отч.год.'!$B$111:$B$131,$B211,'11.2. Нови активи отч.год.'!F$111:F$131)</f>
        <v>347</v>
      </c>
      <c r="G211" s="894">
        <f>F211+SUMIF('11.2. Нови активи отч.год.'!$B$111:$B$131,$B211,'11.2. Нови активи отч.год.'!G$111:G$131)</f>
        <v>347</v>
      </c>
      <c r="H211" s="894">
        <f>G211+SUMIF('11.2. Нови активи отч.год.'!$B$111:$B$131,$B211,'11.2. Нови активи отч.год.'!H$111:H$131)</f>
        <v>347</v>
      </c>
      <c r="I211" s="894">
        <f>H211+SUMIF('11.2. Нови активи отч.год.'!$B$111:$B$131,$B211,'11.2. Нови активи отч.год.'!I$111:I$131)</f>
        <v>347</v>
      </c>
      <c r="J211" s="894">
        <f>I211+SUMIF('11.2. Нови активи отч.год.'!$B$111:$B$131,$B211,'11.2. Нови активи отч.год.'!J$111:J$131)</f>
        <v>347</v>
      </c>
      <c r="K211" s="895">
        <f>J211+SUMIF('11.2. Нови активи отч.год.'!$B$111:$B$131,$B211,'11.2. Нови активи отч.год.'!K$111:K$131)</f>
        <v>347</v>
      </c>
      <c r="L211" s="2246">
        <v>0</v>
      </c>
      <c r="M211" s="893">
        <f>L211+SUMIF('11.2. Нови активи отч.год.'!$B$111:$B$131,$B211,'11.2. Нови активи отч.год.'!M$111:M$131)</f>
        <v>0</v>
      </c>
      <c r="N211" s="894">
        <f>M211+SUMIF('11.2. Нови активи отч.год.'!$B$111:$B$131,$B211,'11.2. Нови активи отч.год.'!N$111:N$131)</f>
        <v>0</v>
      </c>
      <c r="O211" s="894">
        <f>N211+SUMIF('11.2. Нови активи отч.год.'!$B$111:$B$131,$B211,'11.2. Нови активи отч.год.'!O$111:O$131)</f>
        <v>0</v>
      </c>
      <c r="P211" s="894">
        <f>O211+SUMIF('11.2. Нови активи отч.год.'!$B$111:$B$131,$B211,'11.2. Нови активи отч.год.'!P$111:P$131)</f>
        <v>0</v>
      </c>
      <c r="Q211" s="894">
        <f>P211+SUMIF('11.2. Нови активи отч.год.'!$B$111:$B$131,$B211,'11.2. Нови активи отч.год.'!Q$111:Q$131)</f>
        <v>0</v>
      </c>
      <c r="R211" s="895">
        <f>Q211+SUMIF('11.2. Нови активи отч.год.'!$B$111:$B$131,$B211,'11.2. Нови активи отч.год.'!R$111:R$131)</f>
        <v>0</v>
      </c>
      <c r="S211" s="2246">
        <v>0</v>
      </c>
      <c r="T211" s="893">
        <f>S211+SUMIF('11.2. Нови активи отч.год.'!$B$111:$B$131,$B211,'11.2. Нови активи отч.год.'!T$111:T$131)</f>
        <v>0</v>
      </c>
      <c r="U211" s="894">
        <f>T211+SUMIF('11.2. Нови активи отч.год.'!$B$111:$B$131,$B211,'11.2. Нови активи отч.год.'!U$111:U$131)</f>
        <v>0</v>
      </c>
      <c r="V211" s="894">
        <f>U211+SUMIF('11.2. Нови активи отч.год.'!$B$111:$B$131,$B211,'11.2. Нови активи отч.год.'!V$111:V$131)</f>
        <v>0</v>
      </c>
      <c r="W211" s="894">
        <f>V211+SUMIF('11.2. Нови активи отч.год.'!$B$111:$B$131,$B211,'11.2. Нови активи отч.год.'!W$111:W$131)</f>
        <v>0</v>
      </c>
      <c r="X211" s="894">
        <f>W211+SUMIF('11.2. Нови активи отч.год.'!$B$111:$B$131,$B211,'11.2. Нови активи отч.год.'!X$111:X$131)</f>
        <v>0</v>
      </c>
      <c r="Y211" s="895">
        <f>X211+SUMIF('11.2. Нови активи отч.год.'!$B$111:$B$131,$B211,'11.2. Нови активи отч.год.'!Y$111:Y$131)</f>
        <v>0</v>
      </c>
      <c r="Z211" s="1672"/>
      <c r="AA211" s="1703"/>
      <c r="AB211" s="1727"/>
    </row>
    <row r="212" spans="1:28" s="1643" customFormat="1" ht="24.75" thickBot="1">
      <c r="A212" s="1730">
        <v>21</v>
      </c>
      <c r="B212" s="1675" t="s">
        <v>960</v>
      </c>
      <c r="C212" s="1680">
        <v>0.2</v>
      </c>
      <c r="D212" s="1626" t="s">
        <v>911</v>
      </c>
      <c r="E212" s="2246">
        <v>31.335000000000001</v>
      </c>
      <c r="F212" s="899">
        <f>E212+SUMIF('11.2. Нови активи отч.год.'!$B$111:$B$131,$B212,'11.2. Нови активи отч.год.'!F$111:F$131)</f>
        <v>31.335000000000001</v>
      </c>
      <c r="G212" s="900">
        <f>F212+SUMIF('11.2. Нови активи отч.год.'!$B$111:$B$131,$B212,'11.2. Нови активи отч.год.'!G$111:G$131)</f>
        <v>31.335000000000001</v>
      </c>
      <c r="H212" s="900">
        <f>G212+SUMIF('11.2. Нови активи отч.год.'!$B$111:$B$131,$B212,'11.2. Нови активи отч.год.'!H$111:H$131)</f>
        <v>31.335000000000001</v>
      </c>
      <c r="I212" s="900">
        <f>H212+SUMIF('11.2. Нови активи отч.год.'!$B$111:$B$131,$B212,'11.2. Нови активи отч.год.'!I$111:I$131)</f>
        <v>31.335000000000001</v>
      </c>
      <c r="J212" s="900">
        <f>I212+SUMIF('11.2. Нови активи отч.год.'!$B$111:$B$131,$B212,'11.2. Нови активи отч.год.'!J$111:J$131)</f>
        <v>31.335000000000001</v>
      </c>
      <c r="K212" s="901">
        <f>J212+SUMIF('11.2. Нови активи отч.год.'!$B$111:$B$131,$B212,'11.2. Нови активи отч.год.'!K$111:K$131)</f>
        <v>31.335000000000001</v>
      </c>
      <c r="L212" s="2246">
        <v>0</v>
      </c>
      <c r="M212" s="899">
        <f>L212+SUMIF('11.2. Нови активи отч.год.'!$B$111:$B$131,$B212,'11.2. Нови активи отч.год.'!M$111:M$131)</f>
        <v>0</v>
      </c>
      <c r="N212" s="900">
        <f>M212+SUMIF('11.2. Нови активи отч.год.'!$B$111:$B$131,$B212,'11.2. Нови активи отч.год.'!N$111:N$131)</f>
        <v>0</v>
      </c>
      <c r="O212" s="900">
        <f>N212+SUMIF('11.2. Нови активи отч.год.'!$B$111:$B$131,$B212,'11.2. Нови активи отч.год.'!O$111:O$131)</f>
        <v>0</v>
      </c>
      <c r="P212" s="900">
        <f>O212+SUMIF('11.2. Нови активи отч.год.'!$B$111:$B$131,$B212,'11.2. Нови активи отч.год.'!P$111:P$131)</f>
        <v>0</v>
      </c>
      <c r="Q212" s="900">
        <f>P212+SUMIF('11.2. Нови активи отч.год.'!$B$111:$B$131,$B212,'11.2. Нови активи отч.год.'!Q$111:Q$131)</f>
        <v>0</v>
      </c>
      <c r="R212" s="901">
        <f>Q212+SUMIF('11.2. Нови активи отч.год.'!$B$111:$B$131,$B212,'11.2. Нови активи отч.год.'!R$111:R$131)</f>
        <v>0</v>
      </c>
      <c r="S212" s="2246">
        <v>5</v>
      </c>
      <c r="T212" s="899">
        <f>S212+SUMIF('11.2. Нови активи отч.год.'!$B$111:$B$131,$B212,'11.2. Нови активи отч.год.'!T$111:T$131)</f>
        <v>5</v>
      </c>
      <c r="U212" s="900">
        <f>T212+SUMIF('11.2. Нови активи отч.год.'!$B$111:$B$131,$B212,'11.2. Нови активи отч.год.'!U$111:U$131)</f>
        <v>5</v>
      </c>
      <c r="V212" s="900">
        <f>U212+SUMIF('11.2. Нови активи отч.год.'!$B$111:$B$131,$B212,'11.2. Нови активи отч.год.'!V$111:V$131)</f>
        <v>5</v>
      </c>
      <c r="W212" s="900">
        <f>V212+SUMIF('11.2. Нови активи отч.год.'!$B$111:$B$131,$B212,'11.2. Нови активи отч.год.'!W$111:W$131)</f>
        <v>5</v>
      </c>
      <c r="X212" s="900">
        <f>W212+SUMIF('11.2. Нови активи отч.год.'!$B$111:$B$131,$B212,'11.2. Нови активи отч.год.'!X$111:X$131)</f>
        <v>5</v>
      </c>
      <c r="Y212" s="901">
        <f>X212+SUMIF('11.2. Нови активи отч.год.'!$B$111:$B$131,$B212,'11.2. Нови активи отч.год.'!Y$111:Y$131)</f>
        <v>5</v>
      </c>
      <c r="Z212" s="1672"/>
      <c r="AA212" s="1703"/>
      <c r="AB212" s="1727"/>
    </row>
    <row r="213" spans="1:28" s="1643" customFormat="1" ht="13.5" thickBot="1">
      <c r="A213" s="1695" t="s">
        <v>269</v>
      </c>
      <c r="B213" s="1696"/>
      <c r="C213" s="1696"/>
      <c r="D213" s="1666" t="s">
        <v>281</v>
      </c>
      <c r="E213" s="2762">
        <f t="shared" ref="E213:Y213" si="151">SUM(E214:E234)</f>
        <v>774.6</v>
      </c>
      <c r="F213" s="2757">
        <f t="shared" si="151"/>
        <v>774.6</v>
      </c>
      <c r="G213" s="1093">
        <f t="shared" si="151"/>
        <v>774.6</v>
      </c>
      <c r="H213" s="1093">
        <f t="shared" si="151"/>
        <v>773.6</v>
      </c>
      <c r="I213" s="2075">
        <f t="shared" si="151"/>
        <v>771.6</v>
      </c>
      <c r="J213" s="1093">
        <f t="shared" si="151"/>
        <v>771.6</v>
      </c>
      <c r="K213" s="1093">
        <f t="shared" si="151"/>
        <v>757.6</v>
      </c>
      <c r="L213" s="2762">
        <f t="shared" si="151"/>
        <v>323</v>
      </c>
      <c r="M213" s="2757">
        <f t="shared" si="151"/>
        <v>323</v>
      </c>
      <c r="N213" s="1093">
        <f t="shared" si="151"/>
        <v>323</v>
      </c>
      <c r="O213" s="1093">
        <f t="shared" si="151"/>
        <v>323</v>
      </c>
      <c r="P213" s="2075">
        <f t="shared" si="151"/>
        <v>323</v>
      </c>
      <c r="Q213" s="1093">
        <f t="shared" si="151"/>
        <v>323</v>
      </c>
      <c r="R213" s="1093">
        <f t="shared" si="151"/>
        <v>323</v>
      </c>
      <c r="S213" s="2762">
        <f t="shared" si="151"/>
        <v>781.5</v>
      </c>
      <c r="T213" s="2775">
        <f t="shared" si="151"/>
        <v>781.5</v>
      </c>
      <c r="U213" s="2776">
        <f t="shared" si="151"/>
        <v>781.5</v>
      </c>
      <c r="V213" s="2776">
        <f t="shared" si="151"/>
        <v>780.5</v>
      </c>
      <c r="W213" s="2777">
        <f t="shared" si="151"/>
        <v>780.5</v>
      </c>
      <c r="X213" s="2776">
        <f t="shared" si="151"/>
        <v>780.5</v>
      </c>
      <c r="Y213" s="2778">
        <f t="shared" si="151"/>
        <v>780.5</v>
      </c>
      <c r="Z213" s="1681"/>
      <c r="AA213" s="1703"/>
      <c r="AB213" s="1727"/>
    </row>
    <row r="214" spans="1:28" s="1643" customFormat="1">
      <c r="A214" s="1674">
        <v>1</v>
      </c>
      <c r="B214" s="1732" t="s">
        <v>949</v>
      </c>
      <c r="C214" s="1691">
        <v>0</v>
      </c>
      <c r="D214" s="659" t="s">
        <v>760</v>
      </c>
      <c r="E214" s="2246">
        <v>0</v>
      </c>
      <c r="F214" s="2779">
        <f>$E214-SUMIF('11.2. Нови активи отч.год.'!$B$155:$B$175,$B214,'11.2. Нови активи отч.год.'!$E$155:$E$175)+SUMIF('11.2. Нови активи отч.год.'!$B$155:$B$175,$B214,'11.2. Нови активи отч.год.'!F$155:F$175)</f>
        <v>0</v>
      </c>
      <c r="G214" s="2780">
        <f>$E214-SUMIF('11.2. Нови активи отч.год.'!$B$155:$B$175,$B214,'11.2. Нови активи отч.год.'!$E$155:$E$175)+SUMIF('11.2. Нови активи отч.год.'!$B$155:$B$175,$B214,'11.2. Нови активи отч.год.'!G$155:G$175)</f>
        <v>0</v>
      </c>
      <c r="H214" s="2780">
        <f>$E214-SUMIF('11.2. Нови активи отч.год.'!$B$155:$B$175,$B214,'11.2. Нови активи отч.год.'!$E$155:$E$175)+SUMIF('11.2. Нови активи отч.год.'!$B$155:$B$175,$B214,'11.2. Нови активи отч.год.'!H$155:H$175)</f>
        <v>0</v>
      </c>
      <c r="I214" s="2780">
        <f>$E214-SUMIF('11.2. Нови активи отч.год.'!$B$155:$B$175,$B214,'11.2. Нови активи отч.год.'!$E$155:$E$175)+SUMIF('11.2. Нови активи отч.год.'!$B$155:$B$175,$B214,'11.2. Нови активи отч.год.'!I$155:I$175)</f>
        <v>0</v>
      </c>
      <c r="J214" s="2780">
        <f>$E214-SUMIF('11.2. Нови активи отч.год.'!$B$155:$B$175,$B214,'11.2. Нови активи отч.год.'!$E$155:$E$175)+SUMIF('11.2. Нови активи отч.год.'!$B$155:$B$175,$B214,'11.2. Нови активи отч.год.'!J$155:J$175)</f>
        <v>0</v>
      </c>
      <c r="K214" s="2781">
        <f>$E214-SUMIF('11.2. Нови активи отч.год.'!$B$155:$B$175,$B214,'11.2. Нови активи отч.год.'!$E$155:$E$175)+SUMIF('11.2. Нови активи отч.год.'!$B$155:$B$175,$B214,'11.2. Нови активи отч.год.'!K$155:K$175)</f>
        <v>0</v>
      </c>
      <c r="L214" s="2246">
        <v>0</v>
      </c>
      <c r="M214" s="2779">
        <f>$L214-SUMIF('11.2. Нови активи отч.год.'!$B$155:$B$175,$B214,'11.2. Нови активи отч.год.'!$L$155:$L$175)+SUMIF('11.2. Нови активи отч.год.'!$B$155:$B$175,$B214,'11.2. Нови активи отч.год.'!M$155:M$175)</f>
        <v>0</v>
      </c>
      <c r="N214" s="2780">
        <f>$L214-SUMIF('11.2. Нови активи отч.год.'!$B$155:$B$175,$B214,'11.2. Нови активи отч.год.'!$L$155:$L$175)+SUMIF('11.2. Нови активи отч.год.'!$B$155:$B$175,$B214,'11.2. Нови активи отч.год.'!N$155:N$175)</f>
        <v>0</v>
      </c>
      <c r="O214" s="2780">
        <f>$L214-SUMIF('11.2. Нови активи отч.год.'!$B$155:$B$175,$B214,'11.2. Нови активи отч.год.'!$L$155:$L$175)+SUMIF('11.2. Нови активи отч.год.'!$B$155:$B$175,$B214,'11.2. Нови активи отч.год.'!O$155:O$175)</f>
        <v>0</v>
      </c>
      <c r="P214" s="2780">
        <f>$L214-SUMIF('11.2. Нови активи отч.год.'!$B$155:$B$175,$B214,'11.2. Нови активи отч.год.'!$L$155:$L$175)+SUMIF('11.2. Нови активи отч.год.'!$B$155:$B$175,$B214,'11.2. Нови активи отч.год.'!P$155:P$175)</f>
        <v>0</v>
      </c>
      <c r="Q214" s="2780">
        <f>$L214-SUMIF('11.2. Нови активи отч.год.'!$B$155:$B$175,$B214,'11.2. Нови активи отч.год.'!$L$155:$L$175)+SUMIF('11.2. Нови активи отч.год.'!$B$155:$B$175,$B214,'11.2. Нови активи отч.год.'!Q$155:Q$175)</f>
        <v>0</v>
      </c>
      <c r="R214" s="2781">
        <f>$L214-SUMIF('11.2. Нови активи отч.год.'!$B$155:$B$175,$B214,'11.2. Нови активи отч.год.'!$L$155:$L$175)+SUMIF('11.2. Нови активи отч.год.'!$B$155:$B$175,$B214,'11.2. Нови активи отч.год.'!R$155:R$175)</f>
        <v>0</v>
      </c>
      <c r="S214" s="2246">
        <v>0</v>
      </c>
      <c r="T214" s="2779">
        <f>$S214-SUMIF('11.2. Нови активи отч.год.'!$B$155:$B$175,$B214,'11.2. Нови активи отч.год.'!$S$155:$S$175)+SUMIF('11.2. Нови активи отч.год.'!$B$155:$B$175,$B214,'11.2. Нови активи отч.год.'!T$155:T$175)</f>
        <v>0</v>
      </c>
      <c r="U214" s="2780">
        <f>$S214-SUMIF('11.2. Нови активи отч.год.'!$B$155:$B$175,$B214,'11.2. Нови активи отч.год.'!$S$155:$S$175)+SUMIF('11.2. Нови активи отч.год.'!$B$155:$B$175,$B214,'11.2. Нови активи отч.год.'!U$155:U$175)</f>
        <v>0</v>
      </c>
      <c r="V214" s="2780">
        <f>$S214-SUMIF('11.2. Нови активи отч.год.'!$B$155:$B$175,$B214,'11.2. Нови активи отч.год.'!$S$155:$S$175)+SUMIF('11.2. Нови активи отч.год.'!$B$155:$B$175,$B214,'11.2. Нови активи отч.год.'!V$155:V$175)</f>
        <v>0</v>
      </c>
      <c r="W214" s="2780">
        <f>$S214-SUMIF('11.2. Нови активи отч.год.'!$B$155:$B$175,$B214,'11.2. Нови активи отч.год.'!$S$155:$S$175)+SUMIF('11.2. Нови активи отч.год.'!$B$155:$B$175,$B214,'11.2. Нови активи отч.год.'!W$155:W$175)</f>
        <v>0</v>
      </c>
      <c r="X214" s="2780">
        <f>$S214-SUMIF('11.2. Нови активи отч.год.'!$B$155:$B$175,$B214,'11.2. Нови активи отч.год.'!$S$155:$S$175)+SUMIF('11.2. Нови активи отч.год.'!$B$155:$B$175,$B214,'11.2. Нови активи отч.год.'!X$155:X$175)</f>
        <v>0</v>
      </c>
      <c r="Y214" s="2781">
        <f>$S214-SUMIF('11.2. Нови активи отч.год.'!$B$155:$B$175,$B214,'11.2. Нови активи отч.год.'!$S$155:$S$175)+SUMIF('11.2. Нови активи отч.год.'!$B$155:$B$175,$B214,'11.2. Нови активи отч.год.'!Y$155:Y$175)</f>
        <v>0</v>
      </c>
      <c r="Z214" s="1681"/>
      <c r="AA214" s="1703"/>
      <c r="AB214" s="1727"/>
    </row>
    <row r="215" spans="1:28" s="1643" customFormat="1">
      <c r="A215" s="1674">
        <v>2</v>
      </c>
      <c r="B215" s="1675" t="s">
        <v>950</v>
      </c>
      <c r="C215" s="1676">
        <v>0.03</v>
      </c>
      <c r="D215" s="1728" t="s">
        <v>598</v>
      </c>
      <c r="E215" s="2246">
        <v>62</v>
      </c>
      <c r="F215" s="2782">
        <f>$E215-SUMIF('11.2. Нови активи отч.год.'!$B$155:$B$175,$B215,'11.2. Нови активи отч.год.'!$E$155:$E$175)+SUMIF('11.2. Нови активи отч.год.'!$B$155:$B$175,$B215,'11.2. Нови активи отч.год.'!F$155:F$175)</f>
        <v>62</v>
      </c>
      <c r="G215" s="2783">
        <f>$E215-SUMIF('11.2. Нови активи отч.год.'!$B$155:$B$175,$B215,'11.2. Нови активи отч.год.'!$E$155:$E$175)+SUMIF('11.2. Нови активи отч.год.'!$B$155:$B$175,$B215,'11.2. Нови активи отч.год.'!G$155:G$175)</f>
        <v>62</v>
      </c>
      <c r="H215" s="2783">
        <f>$E215-SUMIF('11.2. Нови активи отч.год.'!$B$155:$B$175,$B215,'11.2. Нови активи отч.год.'!$E$155:$E$175)+SUMIF('11.2. Нови активи отч.год.'!$B$155:$B$175,$B215,'11.2. Нови активи отч.год.'!H$155:H$175)</f>
        <v>62</v>
      </c>
      <c r="I215" s="2783">
        <f>$E215-SUMIF('11.2. Нови активи отч.год.'!$B$155:$B$175,$B215,'11.2. Нови активи отч.год.'!$E$155:$E$175)+SUMIF('11.2. Нови активи отч.год.'!$B$155:$B$175,$B215,'11.2. Нови активи отч.год.'!I$155:I$175)</f>
        <v>62</v>
      </c>
      <c r="J215" s="2783">
        <f>$E215-SUMIF('11.2. Нови активи отч.год.'!$B$155:$B$175,$B215,'11.2. Нови активи отч.год.'!$E$155:$E$175)+SUMIF('11.2. Нови активи отч.год.'!$B$155:$B$175,$B215,'11.2. Нови активи отч.год.'!J$155:J$175)</f>
        <v>62</v>
      </c>
      <c r="K215" s="2784">
        <f>$E215-SUMIF('11.2. Нови активи отч.год.'!$B$155:$B$175,$B215,'11.2. Нови активи отч.год.'!$E$155:$E$175)+SUMIF('11.2. Нови активи отч.год.'!$B$155:$B$175,$B215,'11.2. Нови активи отч.год.'!K$155:K$175)</f>
        <v>62</v>
      </c>
      <c r="L215" s="2246">
        <v>0</v>
      </c>
      <c r="M215" s="2782">
        <f>$L215-SUMIF('11.2. Нови активи отч.год.'!$B$155:$B$175,$B215,'11.2. Нови активи отч.год.'!$L$155:$L$175)+SUMIF('11.2. Нови активи отч.год.'!$B$155:$B$175,$B215,'11.2. Нови активи отч.год.'!M$155:M$175)</f>
        <v>0</v>
      </c>
      <c r="N215" s="2783">
        <f>$L215-SUMIF('11.2. Нови активи отч.год.'!$B$155:$B$175,$B215,'11.2. Нови активи отч.год.'!$L$155:$L$175)+SUMIF('11.2. Нови активи отч.год.'!$B$155:$B$175,$B215,'11.2. Нови активи отч.год.'!N$155:N$175)</f>
        <v>0</v>
      </c>
      <c r="O215" s="2783">
        <f>$L215-SUMIF('11.2. Нови активи отч.год.'!$B$155:$B$175,$B215,'11.2. Нови активи отч.год.'!$L$155:$L$175)+SUMIF('11.2. Нови активи отч.год.'!$B$155:$B$175,$B215,'11.2. Нови активи отч.год.'!O$155:O$175)</f>
        <v>0</v>
      </c>
      <c r="P215" s="2783">
        <f>$L215-SUMIF('11.2. Нови активи отч.год.'!$B$155:$B$175,$B215,'11.2. Нови активи отч.год.'!$L$155:$L$175)+SUMIF('11.2. Нови активи отч.год.'!$B$155:$B$175,$B215,'11.2. Нови активи отч.год.'!P$155:P$175)</f>
        <v>0</v>
      </c>
      <c r="Q215" s="2783">
        <f>$L215-SUMIF('11.2. Нови активи отч.год.'!$B$155:$B$175,$B215,'11.2. Нови активи отч.год.'!$L$155:$L$175)+SUMIF('11.2. Нови активи отч.год.'!$B$155:$B$175,$B215,'11.2. Нови активи отч.год.'!Q$155:Q$175)</f>
        <v>0</v>
      </c>
      <c r="R215" s="2784">
        <f>$L215-SUMIF('11.2. Нови активи отч.год.'!$B$155:$B$175,$B215,'11.2. Нови активи отч.год.'!$L$155:$L$175)+SUMIF('11.2. Нови активи отч.год.'!$B$155:$B$175,$B215,'11.2. Нови активи отч.год.'!R$155:R$175)</f>
        <v>0</v>
      </c>
      <c r="S215" s="2246">
        <v>17</v>
      </c>
      <c r="T215" s="2782">
        <f>$S215-SUMIF('11.2. Нови активи отч.год.'!$B$155:$B$175,$B215,'11.2. Нови активи отч.год.'!$S$155:$S$175)+SUMIF('11.2. Нови активи отч.год.'!$B$155:$B$175,$B215,'11.2. Нови активи отч.год.'!T$155:T$175)</f>
        <v>17</v>
      </c>
      <c r="U215" s="2783">
        <f>$S215-SUMIF('11.2. Нови активи отч.год.'!$B$155:$B$175,$B215,'11.2. Нови активи отч.год.'!$S$155:$S$175)+SUMIF('11.2. Нови активи отч.год.'!$B$155:$B$175,$B215,'11.2. Нови активи отч.год.'!U$155:U$175)</f>
        <v>17</v>
      </c>
      <c r="V215" s="2783">
        <f>$S215-SUMIF('11.2. Нови активи отч.год.'!$B$155:$B$175,$B215,'11.2. Нови активи отч.год.'!$S$155:$S$175)+SUMIF('11.2. Нови активи отч.год.'!$B$155:$B$175,$B215,'11.2. Нови активи отч.год.'!V$155:V$175)</f>
        <v>17</v>
      </c>
      <c r="W215" s="2783">
        <f>$S215-SUMIF('11.2. Нови активи отч.год.'!$B$155:$B$175,$B215,'11.2. Нови активи отч.год.'!$S$155:$S$175)+SUMIF('11.2. Нови активи отч.год.'!$B$155:$B$175,$B215,'11.2. Нови активи отч.год.'!W$155:W$175)</f>
        <v>17</v>
      </c>
      <c r="X215" s="2783">
        <f>$S215-SUMIF('11.2. Нови активи отч.год.'!$B$155:$B$175,$B215,'11.2. Нови активи отч.год.'!$S$155:$S$175)+SUMIF('11.2. Нови активи отч.год.'!$B$155:$B$175,$B215,'11.2. Нови активи отч.год.'!X$155:X$175)</f>
        <v>17</v>
      </c>
      <c r="Y215" s="2784">
        <f>$S215-SUMIF('11.2. Нови активи отч.год.'!$B$155:$B$175,$B215,'11.2. Нови активи отч.год.'!$S$155:$S$175)+SUMIF('11.2. Нови активи отч.год.'!$B$155:$B$175,$B215,'11.2. Нови активи отч.год.'!Y$155:Y$175)</f>
        <v>17</v>
      </c>
      <c r="Z215" s="1681"/>
      <c r="AA215" s="1703"/>
      <c r="AB215" s="1727"/>
    </row>
    <row r="216" spans="1:28" s="1643" customFormat="1">
      <c r="A216" s="1674">
        <v>3</v>
      </c>
      <c r="B216" s="1675">
        <v>911301</v>
      </c>
      <c r="C216" s="1676">
        <v>0.1</v>
      </c>
      <c r="D216" s="1728" t="s">
        <v>599</v>
      </c>
      <c r="E216" s="2246">
        <v>5.8</v>
      </c>
      <c r="F216" s="2782">
        <f>$E216-SUMIF('11.2. Нови активи отч.год.'!$B$155:$B$175,$B216,'11.2. Нови активи отч.год.'!$E$155:$E$175)+SUMIF('11.2. Нови активи отч.год.'!$B$155:$B$175,$B216,'11.2. Нови активи отч.год.'!F$155:F$175)</f>
        <v>5.8</v>
      </c>
      <c r="G216" s="2783">
        <f>$E216-SUMIF('11.2. Нови активи отч.год.'!$B$155:$B$175,$B216,'11.2. Нови активи отч.год.'!$E$155:$E$175)+SUMIF('11.2. Нови активи отч.год.'!$B$155:$B$175,$B216,'11.2. Нови активи отч.год.'!G$155:G$175)</f>
        <v>5.8</v>
      </c>
      <c r="H216" s="2783">
        <f>$E216-SUMIF('11.2. Нови активи отч.год.'!$B$155:$B$175,$B216,'11.2. Нови активи отч.год.'!$E$155:$E$175)+SUMIF('11.2. Нови активи отч.год.'!$B$155:$B$175,$B216,'11.2. Нови активи отч.год.'!H$155:H$175)</f>
        <v>5.8</v>
      </c>
      <c r="I216" s="2783">
        <f>$E216-SUMIF('11.2. Нови активи отч.год.'!$B$155:$B$175,$B216,'11.2. Нови активи отч.год.'!$E$155:$E$175)+SUMIF('11.2. Нови активи отч.год.'!$B$155:$B$175,$B216,'11.2. Нови активи отч.год.'!I$155:I$175)</f>
        <v>5.8</v>
      </c>
      <c r="J216" s="2783">
        <f>$E216-SUMIF('11.2. Нови активи отч.год.'!$B$155:$B$175,$B216,'11.2. Нови активи отч.год.'!$E$155:$E$175)+SUMIF('11.2. Нови активи отч.год.'!$B$155:$B$175,$B216,'11.2. Нови активи отч.год.'!J$155:J$175)</f>
        <v>5.8</v>
      </c>
      <c r="K216" s="2784">
        <f>$E216-SUMIF('11.2. Нови активи отч.год.'!$B$155:$B$175,$B216,'11.2. Нови активи отч.год.'!$E$155:$E$175)+SUMIF('11.2. Нови активи отч.год.'!$B$155:$B$175,$B216,'11.2. Нови активи отч.год.'!K$155:K$175)</f>
        <v>5.8</v>
      </c>
      <c r="L216" s="2246">
        <v>0</v>
      </c>
      <c r="M216" s="2782">
        <f>$L216-SUMIF('11.2. Нови активи отч.год.'!$B$155:$B$175,$B216,'11.2. Нови активи отч.год.'!$L$155:$L$175)+SUMIF('11.2. Нови активи отч.год.'!$B$155:$B$175,$B216,'11.2. Нови активи отч.год.'!M$155:M$175)</f>
        <v>0</v>
      </c>
      <c r="N216" s="2783">
        <f>$L216-SUMIF('11.2. Нови активи отч.год.'!$B$155:$B$175,$B216,'11.2. Нови активи отч.год.'!$L$155:$L$175)+SUMIF('11.2. Нови активи отч.год.'!$B$155:$B$175,$B216,'11.2. Нови активи отч.год.'!N$155:N$175)</f>
        <v>0</v>
      </c>
      <c r="O216" s="2783">
        <f>$L216-SUMIF('11.2. Нови активи отч.год.'!$B$155:$B$175,$B216,'11.2. Нови активи отч.год.'!$L$155:$L$175)+SUMIF('11.2. Нови активи отч.год.'!$B$155:$B$175,$B216,'11.2. Нови активи отч.год.'!O$155:O$175)</f>
        <v>0</v>
      </c>
      <c r="P216" s="2783">
        <f>$L216-SUMIF('11.2. Нови активи отч.год.'!$B$155:$B$175,$B216,'11.2. Нови активи отч.год.'!$L$155:$L$175)+SUMIF('11.2. Нови активи отч.год.'!$B$155:$B$175,$B216,'11.2. Нови активи отч.год.'!P$155:P$175)</f>
        <v>0</v>
      </c>
      <c r="Q216" s="2783">
        <f>$L216-SUMIF('11.2. Нови активи отч.год.'!$B$155:$B$175,$B216,'11.2. Нови активи отч.год.'!$L$155:$L$175)+SUMIF('11.2. Нови активи отч.год.'!$B$155:$B$175,$B216,'11.2. Нови активи отч.год.'!Q$155:Q$175)</f>
        <v>0</v>
      </c>
      <c r="R216" s="2784">
        <f>$L216-SUMIF('11.2. Нови активи отч.год.'!$B$155:$B$175,$B216,'11.2. Нови активи отч.год.'!$L$155:$L$175)+SUMIF('11.2. Нови активи отч.год.'!$B$155:$B$175,$B216,'11.2. Нови активи отч.год.'!R$155:R$175)</f>
        <v>0</v>
      </c>
      <c r="S216" s="2246">
        <v>3</v>
      </c>
      <c r="T216" s="2782">
        <f>$S216-SUMIF('11.2. Нови активи отч.год.'!$B$155:$B$175,$B216,'11.2. Нови активи отч.год.'!$S$155:$S$175)+SUMIF('11.2. Нови активи отч.год.'!$B$155:$B$175,$B216,'11.2. Нови активи отч.год.'!T$155:T$175)</f>
        <v>3</v>
      </c>
      <c r="U216" s="2783">
        <f>$S216-SUMIF('11.2. Нови активи отч.год.'!$B$155:$B$175,$B216,'11.2. Нови активи отч.год.'!$S$155:$S$175)+SUMIF('11.2. Нови активи отч.год.'!$B$155:$B$175,$B216,'11.2. Нови активи отч.год.'!U$155:U$175)</f>
        <v>3</v>
      </c>
      <c r="V216" s="2783">
        <f>$S216-SUMIF('11.2. Нови активи отч.год.'!$B$155:$B$175,$B216,'11.2. Нови активи отч.год.'!$S$155:$S$175)+SUMIF('11.2. Нови активи отч.год.'!$B$155:$B$175,$B216,'11.2. Нови активи отч.год.'!V$155:V$175)</f>
        <v>3</v>
      </c>
      <c r="W216" s="2783">
        <f>$S216-SUMIF('11.2. Нови активи отч.год.'!$B$155:$B$175,$B216,'11.2. Нови активи отч.год.'!$S$155:$S$175)+SUMIF('11.2. Нови активи отч.год.'!$B$155:$B$175,$B216,'11.2. Нови активи отч.год.'!W$155:W$175)</f>
        <v>3</v>
      </c>
      <c r="X216" s="2783">
        <f>$S216-SUMIF('11.2. Нови активи отч.год.'!$B$155:$B$175,$B216,'11.2. Нови активи отч.год.'!$S$155:$S$175)+SUMIF('11.2. Нови активи отч.год.'!$B$155:$B$175,$B216,'11.2. Нови активи отч.год.'!X$155:X$175)</f>
        <v>3</v>
      </c>
      <c r="Y216" s="2784">
        <f>$S216-SUMIF('11.2. Нови активи отч.год.'!$B$155:$B$175,$B216,'11.2. Нови активи отч.год.'!$S$155:$S$175)+SUMIF('11.2. Нови активи отч.год.'!$B$155:$B$175,$B216,'11.2. Нови активи отч.год.'!Y$155:Y$175)</f>
        <v>3</v>
      </c>
      <c r="Z216" s="1681"/>
      <c r="AA216" s="1703"/>
      <c r="AB216" s="1727"/>
    </row>
    <row r="217" spans="1:28" s="1643" customFormat="1">
      <c r="A217" s="1674">
        <v>4</v>
      </c>
      <c r="B217" s="1675">
        <v>911302</v>
      </c>
      <c r="C217" s="1676">
        <v>0.1</v>
      </c>
      <c r="D217" s="1728" t="s">
        <v>600</v>
      </c>
      <c r="E217" s="2246">
        <v>1.3</v>
      </c>
      <c r="F217" s="2782">
        <f>$E217-SUMIF('11.2. Нови активи отч.год.'!$B$155:$B$175,$B217,'11.2. Нови активи отч.год.'!$E$155:$E$175)+SUMIF('11.2. Нови активи отч.год.'!$B$155:$B$175,$B217,'11.2. Нови активи отч.год.'!F$155:F$175)</f>
        <v>1.3</v>
      </c>
      <c r="G217" s="2783">
        <f>$E217-SUMIF('11.2. Нови активи отч.год.'!$B$155:$B$175,$B217,'11.2. Нови активи отч.год.'!$E$155:$E$175)+SUMIF('11.2. Нови активи отч.год.'!$B$155:$B$175,$B217,'11.2. Нови активи отч.год.'!G$155:G$175)</f>
        <v>1.3</v>
      </c>
      <c r="H217" s="2783">
        <f>$E217-SUMIF('11.2. Нови активи отч.год.'!$B$155:$B$175,$B217,'11.2. Нови активи отч.год.'!$E$155:$E$175)+SUMIF('11.2. Нови активи отч.год.'!$B$155:$B$175,$B217,'11.2. Нови активи отч.год.'!H$155:H$175)</f>
        <v>1.3</v>
      </c>
      <c r="I217" s="2783">
        <f>$E217-SUMIF('11.2. Нови активи отч.год.'!$B$155:$B$175,$B217,'11.2. Нови активи отч.год.'!$E$155:$E$175)+SUMIF('11.2. Нови активи отч.год.'!$B$155:$B$175,$B217,'11.2. Нови активи отч.год.'!I$155:I$175)</f>
        <v>1.3</v>
      </c>
      <c r="J217" s="2783">
        <f>$E217-SUMIF('11.2. Нови активи отч.год.'!$B$155:$B$175,$B217,'11.2. Нови активи отч.год.'!$E$155:$E$175)+SUMIF('11.2. Нови активи отч.год.'!$B$155:$B$175,$B217,'11.2. Нови активи отч.год.'!J$155:J$175)</f>
        <v>1.3</v>
      </c>
      <c r="K217" s="2784">
        <f>$E217-SUMIF('11.2. Нови активи отч.год.'!$B$155:$B$175,$B217,'11.2. Нови активи отч.год.'!$E$155:$E$175)+SUMIF('11.2. Нови активи отч.год.'!$B$155:$B$175,$B217,'11.2. Нови активи отч.год.'!K$155:K$175)</f>
        <v>0.30000000000000004</v>
      </c>
      <c r="L217" s="2246">
        <v>0</v>
      </c>
      <c r="M217" s="2782">
        <f>$L217-SUMIF('11.2. Нови активи отч.год.'!$B$155:$B$175,$B217,'11.2. Нови активи отч.год.'!$L$155:$L$175)+SUMIF('11.2. Нови активи отч.год.'!$B$155:$B$175,$B217,'11.2. Нови активи отч.год.'!M$155:M$175)</f>
        <v>0</v>
      </c>
      <c r="N217" s="2783">
        <f>$L217-SUMIF('11.2. Нови активи отч.год.'!$B$155:$B$175,$B217,'11.2. Нови активи отч.год.'!$L$155:$L$175)+SUMIF('11.2. Нови активи отч.год.'!$B$155:$B$175,$B217,'11.2. Нови активи отч.год.'!N$155:N$175)</f>
        <v>0</v>
      </c>
      <c r="O217" s="2783">
        <f>$L217-SUMIF('11.2. Нови активи отч.год.'!$B$155:$B$175,$B217,'11.2. Нови активи отч.год.'!$L$155:$L$175)+SUMIF('11.2. Нови активи отч.год.'!$B$155:$B$175,$B217,'11.2. Нови активи отч.год.'!O$155:O$175)</f>
        <v>0</v>
      </c>
      <c r="P217" s="2783">
        <f>$L217-SUMIF('11.2. Нови активи отч.год.'!$B$155:$B$175,$B217,'11.2. Нови активи отч.год.'!$L$155:$L$175)+SUMIF('11.2. Нови активи отч.год.'!$B$155:$B$175,$B217,'11.2. Нови активи отч.год.'!P$155:P$175)</f>
        <v>0</v>
      </c>
      <c r="Q217" s="2783">
        <f>$L217-SUMIF('11.2. Нови активи отч.год.'!$B$155:$B$175,$B217,'11.2. Нови активи отч.год.'!$L$155:$L$175)+SUMIF('11.2. Нови активи отч.год.'!$B$155:$B$175,$B217,'11.2. Нови активи отч.год.'!Q$155:Q$175)</f>
        <v>0</v>
      </c>
      <c r="R217" s="2784">
        <f>$L217-SUMIF('11.2. Нови активи отч.год.'!$B$155:$B$175,$B217,'11.2. Нови активи отч.год.'!$L$155:$L$175)+SUMIF('11.2. Нови активи отч.год.'!$B$155:$B$175,$B217,'11.2. Нови активи отч.год.'!R$155:R$175)</f>
        <v>0</v>
      </c>
      <c r="S217" s="2246">
        <v>0</v>
      </c>
      <c r="T217" s="2782">
        <f>$S217-SUMIF('11.2. Нови активи отч.год.'!$B$155:$B$175,$B217,'11.2. Нови активи отч.год.'!$S$155:$S$175)+SUMIF('11.2. Нови активи отч.год.'!$B$155:$B$175,$B217,'11.2. Нови активи отч.год.'!T$155:T$175)</f>
        <v>0</v>
      </c>
      <c r="U217" s="2783">
        <f>$S217-SUMIF('11.2. Нови активи отч.год.'!$B$155:$B$175,$B217,'11.2. Нови активи отч.год.'!$S$155:$S$175)+SUMIF('11.2. Нови активи отч.год.'!$B$155:$B$175,$B217,'11.2. Нови активи отч.год.'!U$155:U$175)</f>
        <v>0</v>
      </c>
      <c r="V217" s="2783">
        <f>$S217-SUMIF('11.2. Нови активи отч.год.'!$B$155:$B$175,$B217,'11.2. Нови активи отч.год.'!$S$155:$S$175)+SUMIF('11.2. Нови активи отч.год.'!$B$155:$B$175,$B217,'11.2. Нови активи отч.год.'!V$155:V$175)</f>
        <v>0</v>
      </c>
      <c r="W217" s="2783">
        <f>$S217-SUMIF('11.2. Нови активи отч.год.'!$B$155:$B$175,$B217,'11.2. Нови активи отч.год.'!$S$155:$S$175)+SUMIF('11.2. Нови активи отч.год.'!$B$155:$B$175,$B217,'11.2. Нови активи отч.год.'!W$155:W$175)</f>
        <v>0</v>
      </c>
      <c r="X217" s="2783">
        <f>$S217-SUMIF('11.2. Нови активи отч.год.'!$B$155:$B$175,$B217,'11.2. Нови активи отч.год.'!$S$155:$S$175)+SUMIF('11.2. Нови активи отч.год.'!$B$155:$B$175,$B217,'11.2. Нови активи отч.год.'!X$155:X$175)</f>
        <v>0</v>
      </c>
      <c r="Y217" s="2784">
        <f>$S217-SUMIF('11.2. Нови активи отч.год.'!$B$155:$B$175,$B217,'11.2. Нови активи отч.год.'!$S$155:$S$175)+SUMIF('11.2. Нови активи отч.год.'!$B$155:$B$175,$B217,'11.2. Нови активи отч.год.'!Y$155:Y$175)</f>
        <v>0</v>
      </c>
      <c r="Z217" s="1681"/>
      <c r="AA217" s="1703"/>
      <c r="AB217" s="1727"/>
    </row>
    <row r="218" spans="1:28" s="1643" customFormat="1">
      <c r="A218" s="1674">
        <v>5</v>
      </c>
      <c r="B218" s="1675" t="s">
        <v>967</v>
      </c>
      <c r="C218" s="1676">
        <v>0.1</v>
      </c>
      <c r="D218" s="1626" t="s">
        <v>579</v>
      </c>
      <c r="E218" s="2246">
        <v>87</v>
      </c>
      <c r="F218" s="2782">
        <f>$E218-SUMIF('11.2. Нови активи отч.год.'!$B$155:$B$175,$B218,'11.2. Нови активи отч.год.'!$E$155:$E$175)+SUMIF('11.2. Нови активи отч.год.'!$B$155:$B$175,$B218,'11.2. Нови активи отч.год.'!F$155:F$175)</f>
        <v>87</v>
      </c>
      <c r="G218" s="2783">
        <f>$E218-SUMIF('11.2. Нови активи отч.год.'!$B$155:$B$175,$B218,'11.2. Нови активи отч.год.'!$E$155:$E$175)+SUMIF('11.2. Нови активи отч.год.'!$B$155:$B$175,$B218,'11.2. Нови активи отч.год.'!G$155:G$175)</f>
        <v>87</v>
      </c>
      <c r="H218" s="2783">
        <f>$E218-SUMIF('11.2. Нови активи отч.год.'!$B$155:$B$175,$B218,'11.2. Нови активи отч.год.'!$E$155:$E$175)+SUMIF('11.2. Нови активи отч.год.'!$B$155:$B$175,$B218,'11.2. Нови активи отч.год.'!H$155:H$175)</f>
        <v>87</v>
      </c>
      <c r="I218" s="2783">
        <f>$E218-SUMIF('11.2. Нови активи отч.год.'!$B$155:$B$175,$B218,'11.2. Нови активи отч.год.'!$E$155:$E$175)+SUMIF('11.2. Нови активи отч.год.'!$B$155:$B$175,$B218,'11.2. Нови активи отч.год.'!I$155:I$175)</f>
        <v>87</v>
      </c>
      <c r="J218" s="2783">
        <f>$E218-SUMIF('11.2. Нови активи отч.год.'!$B$155:$B$175,$B218,'11.2. Нови активи отч.год.'!$E$155:$E$175)+SUMIF('11.2. Нови активи отч.год.'!$B$155:$B$175,$B218,'11.2. Нови активи отч.год.'!J$155:J$175)</f>
        <v>87</v>
      </c>
      <c r="K218" s="2784">
        <f>$E218-SUMIF('11.2. Нови активи отч.год.'!$B$155:$B$175,$B218,'11.2. Нови активи отч.год.'!$E$155:$E$175)+SUMIF('11.2. Нови активи отч.год.'!$B$155:$B$175,$B218,'11.2. Нови активи отч.год.'!K$155:K$175)</f>
        <v>75</v>
      </c>
      <c r="L218" s="2246">
        <v>0</v>
      </c>
      <c r="M218" s="2782">
        <f>$L218-SUMIF('11.2. Нови активи отч.год.'!$B$155:$B$175,$B218,'11.2. Нови активи отч.год.'!$L$155:$L$175)+SUMIF('11.2. Нови активи отч.год.'!$B$155:$B$175,$B218,'11.2. Нови активи отч.год.'!M$155:M$175)</f>
        <v>0</v>
      </c>
      <c r="N218" s="2783">
        <f>$L218-SUMIF('11.2. Нови активи отч.год.'!$B$155:$B$175,$B218,'11.2. Нови активи отч.год.'!$L$155:$L$175)+SUMIF('11.2. Нови активи отч.год.'!$B$155:$B$175,$B218,'11.2. Нови активи отч.год.'!N$155:N$175)</f>
        <v>0</v>
      </c>
      <c r="O218" s="2783">
        <f>$L218-SUMIF('11.2. Нови активи отч.год.'!$B$155:$B$175,$B218,'11.2. Нови активи отч.год.'!$L$155:$L$175)+SUMIF('11.2. Нови активи отч.год.'!$B$155:$B$175,$B218,'11.2. Нови активи отч.год.'!O$155:O$175)</f>
        <v>0</v>
      </c>
      <c r="P218" s="2783">
        <f>$L218-SUMIF('11.2. Нови активи отч.год.'!$B$155:$B$175,$B218,'11.2. Нови активи отч.год.'!$L$155:$L$175)+SUMIF('11.2. Нови активи отч.год.'!$B$155:$B$175,$B218,'11.2. Нови активи отч.год.'!P$155:P$175)</f>
        <v>0</v>
      </c>
      <c r="Q218" s="2783">
        <f>$L218-SUMIF('11.2. Нови активи отч.год.'!$B$155:$B$175,$B218,'11.2. Нови активи отч.год.'!$L$155:$L$175)+SUMIF('11.2. Нови активи отч.год.'!$B$155:$B$175,$B218,'11.2. Нови активи отч.год.'!Q$155:Q$175)</f>
        <v>0</v>
      </c>
      <c r="R218" s="2784">
        <f>$L218-SUMIF('11.2. Нови активи отч.год.'!$B$155:$B$175,$B218,'11.2. Нови активи отч.год.'!$L$155:$L$175)+SUMIF('11.2. Нови активи отч.год.'!$B$155:$B$175,$B218,'11.2. Нови активи отч.год.'!R$155:R$175)</f>
        <v>0</v>
      </c>
      <c r="S218" s="2246">
        <v>5.5</v>
      </c>
      <c r="T218" s="2782">
        <f>$S218-SUMIF('11.2. Нови активи отч.год.'!$B$155:$B$175,$B218,'11.2. Нови активи отч.год.'!$S$155:$S$175)+SUMIF('11.2. Нови активи отч.год.'!$B$155:$B$175,$B218,'11.2. Нови активи отч.год.'!T$155:T$175)</f>
        <v>5.5</v>
      </c>
      <c r="U218" s="2783">
        <f>$S218-SUMIF('11.2. Нови активи отч.год.'!$B$155:$B$175,$B218,'11.2. Нови активи отч.год.'!$S$155:$S$175)+SUMIF('11.2. Нови активи отч.год.'!$B$155:$B$175,$B218,'11.2. Нови активи отч.год.'!U$155:U$175)</f>
        <v>5.5</v>
      </c>
      <c r="V218" s="2783">
        <f>$S218-SUMIF('11.2. Нови активи отч.год.'!$B$155:$B$175,$B218,'11.2. Нови активи отч.год.'!$S$155:$S$175)+SUMIF('11.2. Нови активи отч.год.'!$B$155:$B$175,$B218,'11.2. Нови активи отч.год.'!V$155:V$175)</f>
        <v>5.5</v>
      </c>
      <c r="W218" s="2783">
        <f>$S218-SUMIF('11.2. Нови активи отч.год.'!$B$155:$B$175,$B218,'11.2. Нови активи отч.год.'!$S$155:$S$175)+SUMIF('11.2. Нови активи отч.год.'!$B$155:$B$175,$B218,'11.2. Нови активи отч.год.'!W$155:W$175)</f>
        <v>5.5</v>
      </c>
      <c r="X218" s="2783">
        <f>$S218-SUMIF('11.2. Нови активи отч.год.'!$B$155:$B$175,$B218,'11.2. Нови активи отч.год.'!$S$155:$S$175)+SUMIF('11.2. Нови активи отч.год.'!$B$155:$B$175,$B218,'11.2. Нови активи отч.год.'!X$155:X$175)</f>
        <v>5.5</v>
      </c>
      <c r="Y218" s="2784">
        <f>$S218-SUMIF('11.2. Нови активи отч.год.'!$B$155:$B$175,$B218,'11.2. Нови активи отч.год.'!$S$155:$S$175)+SUMIF('11.2. Нови активи отч.год.'!$B$155:$B$175,$B218,'11.2. Нови активи отч.год.'!Y$155:Y$175)</f>
        <v>5.5</v>
      </c>
      <c r="Z218" s="1681"/>
      <c r="AA218" s="1703"/>
      <c r="AB218" s="1727"/>
    </row>
    <row r="219" spans="1:28" s="1643" customFormat="1">
      <c r="A219" s="1674">
        <v>6</v>
      </c>
      <c r="B219" s="1675" t="s">
        <v>968</v>
      </c>
      <c r="C219" s="1676">
        <v>0.1</v>
      </c>
      <c r="D219" s="1626" t="s">
        <v>1391</v>
      </c>
      <c r="E219" s="2246">
        <v>13.5</v>
      </c>
      <c r="F219" s="2782">
        <f>$E219-SUMIF('11.2. Нови активи отч.год.'!$B$155:$B$175,$B219,'11.2. Нови активи отч.год.'!$E$155:$E$175)+SUMIF('11.2. Нови активи отч.год.'!$B$155:$B$175,$B219,'11.2. Нови активи отч.год.'!F$155:F$175)</f>
        <v>13.5</v>
      </c>
      <c r="G219" s="2783">
        <f>$E219-SUMIF('11.2. Нови активи отч.год.'!$B$155:$B$175,$B219,'11.2. Нови активи отч.год.'!$E$155:$E$175)+SUMIF('11.2. Нови активи отч.год.'!$B$155:$B$175,$B219,'11.2. Нови активи отч.год.'!G$155:G$175)</f>
        <v>13.5</v>
      </c>
      <c r="H219" s="2783">
        <f>$E219-SUMIF('11.2. Нови активи отч.год.'!$B$155:$B$175,$B219,'11.2. Нови активи отч.год.'!$E$155:$E$175)+SUMIF('11.2. Нови активи отч.год.'!$B$155:$B$175,$B219,'11.2. Нови активи отч.год.'!H$155:H$175)</f>
        <v>13.5</v>
      </c>
      <c r="I219" s="2783">
        <f>$E219-SUMIF('11.2. Нови активи отч.год.'!$B$155:$B$175,$B219,'11.2. Нови активи отч.год.'!$E$155:$E$175)+SUMIF('11.2. Нови активи отч.год.'!$B$155:$B$175,$B219,'11.2. Нови активи отч.год.'!I$155:I$175)</f>
        <v>13.5</v>
      </c>
      <c r="J219" s="2783">
        <f>$E219-SUMIF('11.2. Нови активи отч.год.'!$B$155:$B$175,$B219,'11.2. Нови активи отч.год.'!$E$155:$E$175)+SUMIF('11.2. Нови активи отч.год.'!$B$155:$B$175,$B219,'11.2. Нови активи отч.год.'!J$155:J$175)</f>
        <v>13.5</v>
      </c>
      <c r="K219" s="2784">
        <f>$E219-SUMIF('11.2. Нови активи отч.год.'!$B$155:$B$175,$B219,'11.2. Нови активи отч.год.'!$E$155:$E$175)+SUMIF('11.2. Нови активи отч.год.'!$B$155:$B$175,$B219,'11.2. Нови активи отч.год.'!K$155:K$175)</f>
        <v>13.5</v>
      </c>
      <c r="L219" s="2246">
        <v>0</v>
      </c>
      <c r="M219" s="2782">
        <f>$L219-SUMIF('11.2. Нови активи отч.год.'!$B$155:$B$175,$B219,'11.2. Нови активи отч.год.'!$L$155:$L$175)+SUMIF('11.2. Нови активи отч.год.'!$B$155:$B$175,$B219,'11.2. Нови активи отч.год.'!M$155:M$175)</f>
        <v>0</v>
      </c>
      <c r="N219" s="2783">
        <f>$L219-SUMIF('11.2. Нови активи отч.год.'!$B$155:$B$175,$B219,'11.2. Нови активи отч.год.'!$L$155:$L$175)+SUMIF('11.2. Нови активи отч.год.'!$B$155:$B$175,$B219,'11.2. Нови активи отч.год.'!N$155:N$175)</f>
        <v>0</v>
      </c>
      <c r="O219" s="2783">
        <f>$L219-SUMIF('11.2. Нови активи отч.год.'!$B$155:$B$175,$B219,'11.2. Нови активи отч.год.'!$L$155:$L$175)+SUMIF('11.2. Нови активи отч.год.'!$B$155:$B$175,$B219,'11.2. Нови активи отч.год.'!O$155:O$175)</f>
        <v>0</v>
      </c>
      <c r="P219" s="2783">
        <f>$L219-SUMIF('11.2. Нови активи отч.год.'!$B$155:$B$175,$B219,'11.2. Нови активи отч.год.'!$L$155:$L$175)+SUMIF('11.2. Нови активи отч.год.'!$B$155:$B$175,$B219,'11.2. Нови активи отч.год.'!P$155:P$175)</f>
        <v>0</v>
      </c>
      <c r="Q219" s="2783">
        <f>$L219-SUMIF('11.2. Нови активи отч.год.'!$B$155:$B$175,$B219,'11.2. Нови активи отч.год.'!$L$155:$L$175)+SUMIF('11.2. Нови активи отч.год.'!$B$155:$B$175,$B219,'11.2. Нови активи отч.год.'!Q$155:Q$175)</f>
        <v>0</v>
      </c>
      <c r="R219" s="2784">
        <f>$L219-SUMIF('11.2. Нови активи отч.год.'!$B$155:$B$175,$B219,'11.2. Нови активи отч.год.'!$L$155:$L$175)+SUMIF('11.2. Нови активи отч.год.'!$B$155:$B$175,$B219,'11.2. Нови активи отч.год.'!R$155:R$175)</f>
        <v>0</v>
      </c>
      <c r="S219" s="2246">
        <v>0</v>
      </c>
      <c r="T219" s="2782">
        <f>$S219-SUMIF('11.2. Нови активи отч.год.'!$B$155:$B$175,$B219,'11.2. Нови активи отч.год.'!$S$155:$S$175)+SUMIF('11.2. Нови активи отч.год.'!$B$155:$B$175,$B219,'11.2. Нови активи отч.год.'!T$155:T$175)</f>
        <v>0</v>
      </c>
      <c r="U219" s="2783">
        <f>$S219-SUMIF('11.2. Нови активи отч.год.'!$B$155:$B$175,$B219,'11.2. Нови активи отч.год.'!$S$155:$S$175)+SUMIF('11.2. Нови активи отч.год.'!$B$155:$B$175,$B219,'11.2. Нови активи отч.год.'!U$155:U$175)</f>
        <v>0</v>
      </c>
      <c r="V219" s="2783">
        <f>$S219-SUMIF('11.2. Нови активи отч.год.'!$B$155:$B$175,$B219,'11.2. Нови активи отч.год.'!$S$155:$S$175)+SUMIF('11.2. Нови активи отч.год.'!$B$155:$B$175,$B219,'11.2. Нови активи отч.год.'!V$155:V$175)</f>
        <v>0</v>
      </c>
      <c r="W219" s="2783">
        <f>$S219-SUMIF('11.2. Нови активи отч.год.'!$B$155:$B$175,$B219,'11.2. Нови активи отч.год.'!$S$155:$S$175)+SUMIF('11.2. Нови активи отч.год.'!$B$155:$B$175,$B219,'11.2. Нови активи отч.год.'!W$155:W$175)</f>
        <v>0</v>
      </c>
      <c r="X219" s="2783">
        <f>$S219-SUMIF('11.2. Нови активи отч.год.'!$B$155:$B$175,$B219,'11.2. Нови активи отч.год.'!$S$155:$S$175)+SUMIF('11.2. Нови активи отч.год.'!$B$155:$B$175,$B219,'11.2. Нови активи отч.год.'!X$155:X$175)</f>
        <v>0</v>
      </c>
      <c r="Y219" s="2784">
        <f>$S219-SUMIF('11.2. Нови активи отч.год.'!$B$155:$B$175,$B219,'11.2. Нови активи отч.год.'!$S$155:$S$175)+SUMIF('11.2. Нови активи отч.год.'!$B$155:$B$175,$B219,'11.2. Нови активи отч.год.'!Y$155:Y$175)</f>
        <v>0</v>
      </c>
      <c r="Z219" s="1681"/>
      <c r="AA219" s="1703"/>
      <c r="AB219" s="1727"/>
    </row>
    <row r="220" spans="1:28" s="1643" customFormat="1" ht="24">
      <c r="A220" s="1674">
        <v>7</v>
      </c>
      <c r="B220" s="1675" t="s">
        <v>959</v>
      </c>
      <c r="C220" s="1676">
        <v>0.1</v>
      </c>
      <c r="D220" s="1626" t="s">
        <v>948</v>
      </c>
      <c r="E220" s="2246">
        <v>17.8</v>
      </c>
      <c r="F220" s="2782">
        <f>$E220-SUMIF('11.2. Нови активи отч.год.'!$B$155:$B$175,$B220,'11.2. Нови активи отч.год.'!$E$155:$E$175)+SUMIF('11.2. Нови активи отч.год.'!$B$155:$B$175,$B220,'11.2. Нови активи отч.год.'!F$155:F$175)</f>
        <v>17.8</v>
      </c>
      <c r="G220" s="2783">
        <f>$E220-SUMIF('11.2. Нови активи отч.год.'!$B$155:$B$175,$B220,'11.2. Нови активи отч.год.'!$E$155:$E$175)+SUMIF('11.2. Нови активи отч.год.'!$B$155:$B$175,$B220,'11.2. Нови активи отч.год.'!G$155:G$175)</f>
        <v>17.8</v>
      </c>
      <c r="H220" s="2783">
        <f>$E220-SUMIF('11.2. Нови активи отч.год.'!$B$155:$B$175,$B220,'11.2. Нови активи отч.год.'!$E$155:$E$175)+SUMIF('11.2. Нови активи отч.год.'!$B$155:$B$175,$B220,'11.2. Нови активи отч.год.'!H$155:H$175)</f>
        <v>17.8</v>
      </c>
      <c r="I220" s="2783">
        <f>$E220-SUMIF('11.2. Нови активи отч.год.'!$B$155:$B$175,$B220,'11.2. Нови активи отч.год.'!$E$155:$E$175)+SUMIF('11.2. Нови активи отч.год.'!$B$155:$B$175,$B220,'11.2. Нови активи отч.год.'!I$155:I$175)</f>
        <v>17.8</v>
      </c>
      <c r="J220" s="2783">
        <f>$E220-SUMIF('11.2. Нови активи отч.год.'!$B$155:$B$175,$B220,'11.2. Нови активи отч.год.'!$E$155:$E$175)+SUMIF('11.2. Нови активи отч.год.'!$B$155:$B$175,$B220,'11.2. Нови активи отч.год.'!J$155:J$175)</f>
        <v>17.8</v>
      </c>
      <c r="K220" s="2784">
        <f>$E220-SUMIF('11.2. Нови активи отч.год.'!$B$155:$B$175,$B220,'11.2. Нови активи отч.год.'!$E$155:$E$175)+SUMIF('11.2. Нови активи отч.год.'!$B$155:$B$175,$B220,'11.2. Нови активи отч.год.'!K$155:K$175)</f>
        <v>17.8</v>
      </c>
      <c r="L220" s="2246">
        <v>0</v>
      </c>
      <c r="M220" s="2782">
        <f>$L220-SUMIF('11.2. Нови активи отч.год.'!$B$155:$B$175,$B220,'11.2. Нови активи отч.год.'!$L$155:$L$175)+SUMIF('11.2. Нови активи отч.год.'!$B$155:$B$175,$B220,'11.2. Нови активи отч.год.'!M$155:M$175)</f>
        <v>0</v>
      </c>
      <c r="N220" s="2783">
        <f>$L220-SUMIF('11.2. Нови активи отч.год.'!$B$155:$B$175,$B220,'11.2. Нови активи отч.год.'!$L$155:$L$175)+SUMIF('11.2. Нови активи отч.год.'!$B$155:$B$175,$B220,'11.2. Нови активи отч.год.'!N$155:N$175)</f>
        <v>0</v>
      </c>
      <c r="O220" s="2783">
        <f>$L220-SUMIF('11.2. Нови активи отч.год.'!$B$155:$B$175,$B220,'11.2. Нови активи отч.год.'!$L$155:$L$175)+SUMIF('11.2. Нови активи отч.год.'!$B$155:$B$175,$B220,'11.2. Нови активи отч.год.'!O$155:O$175)</f>
        <v>0</v>
      </c>
      <c r="P220" s="2783">
        <f>$L220-SUMIF('11.2. Нови активи отч.год.'!$B$155:$B$175,$B220,'11.2. Нови активи отч.год.'!$L$155:$L$175)+SUMIF('11.2. Нови активи отч.год.'!$B$155:$B$175,$B220,'11.2. Нови активи отч.год.'!P$155:P$175)</f>
        <v>0</v>
      </c>
      <c r="Q220" s="2783">
        <f>$L220-SUMIF('11.2. Нови активи отч.год.'!$B$155:$B$175,$B220,'11.2. Нови активи отч.год.'!$L$155:$L$175)+SUMIF('11.2. Нови активи отч.год.'!$B$155:$B$175,$B220,'11.2. Нови активи отч.год.'!Q$155:Q$175)</f>
        <v>0</v>
      </c>
      <c r="R220" s="2784">
        <f>$L220-SUMIF('11.2. Нови активи отч.год.'!$B$155:$B$175,$B220,'11.2. Нови активи отч.год.'!$L$155:$L$175)+SUMIF('11.2. Нови активи отч.год.'!$B$155:$B$175,$B220,'11.2. Нови активи отч.год.'!R$155:R$175)</f>
        <v>0</v>
      </c>
      <c r="S220" s="2246">
        <v>0</v>
      </c>
      <c r="T220" s="2782">
        <f>$S220-SUMIF('11.2. Нови активи отч.год.'!$B$155:$B$175,$B220,'11.2. Нови активи отч.год.'!$S$155:$S$175)+SUMIF('11.2. Нови активи отч.год.'!$B$155:$B$175,$B220,'11.2. Нови активи отч.год.'!T$155:T$175)</f>
        <v>0</v>
      </c>
      <c r="U220" s="2783">
        <f>$S220-SUMIF('11.2. Нови активи отч.год.'!$B$155:$B$175,$B220,'11.2. Нови активи отч.год.'!$S$155:$S$175)+SUMIF('11.2. Нови активи отч.год.'!$B$155:$B$175,$B220,'11.2. Нови активи отч.год.'!U$155:U$175)</f>
        <v>0</v>
      </c>
      <c r="V220" s="2783">
        <f>$S220-SUMIF('11.2. Нови активи отч.год.'!$B$155:$B$175,$B220,'11.2. Нови активи отч.год.'!$S$155:$S$175)+SUMIF('11.2. Нови активи отч.год.'!$B$155:$B$175,$B220,'11.2. Нови активи отч.год.'!V$155:V$175)</f>
        <v>0</v>
      </c>
      <c r="W220" s="2783">
        <f>$S220-SUMIF('11.2. Нови активи отч.год.'!$B$155:$B$175,$B220,'11.2. Нови активи отч.год.'!$S$155:$S$175)+SUMIF('11.2. Нови активи отч.год.'!$B$155:$B$175,$B220,'11.2. Нови активи отч.год.'!W$155:W$175)</f>
        <v>0</v>
      </c>
      <c r="X220" s="2783">
        <f>$S220-SUMIF('11.2. Нови активи отч.год.'!$B$155:$B$175,$B220,'11.2. Нови активи отч.год.'!$S$155:$S$175)+SUMIF('11.2. Нови активи отч.год.'!$B$155:$B$175,$B220,'11.2. Нови активи отч.год.'!X$155:X$175)</f>
        <v>0</v>
      </c>
      <c r="Y220" s="2784">
        <f>$S220-SUMIF('11.2. Нови активи отч.год.'!$B$155:$B$175,$B220,'11.2. Нови активи отч.год.'!$S$155:$S$175)+SUMIF('11.2. Нови активи отч.год.'!$B$155:$B$175,$B220,'11.2. Нови активи отч.год.'!Y$155:Y$175)</f>
        <v>0</v>
      </c>
      <c r="Z220" s="1681"/>
      <c r="AA220" s="1703"/>
      <c r="AB220" s="1727"/>
    </row>
    <row r="221" spans="1:28" s="1643" customFormat="1">
      <c r="A221" s="1674">
        <v>8</v>
      </c>
      <c r="B221" s="1675" t="s">
        <v>969</v>
      </c>
      <c r="C221" s="1676">
        <v>0.1</v>
      </c>
      <c r="D221" s="1626" t="s">
        <v>966</v>
      </c>
      <c r="E221" s="2246">
        <v>7</v>
      </c>
      <c r="F221" s="2782">
        <f>$E221-SUMIF('11.2. Нови активи отч.год.'!$B$155:$B$175,$B221,'11.2. Нови активи отч.год.'!$E$155:$E$175)+SUMIF('11.2. Нови активи отч.год.'!$B$155:$B$175,$B221,'11.2. Нови активи отч.год.'!F$155:F$175)</f>
        <v>7</v>
      </c>
      <c r="G221" s="2783">
        <f>$E221-SUMIF('11.2. Нови активи отч.год.'!$B$155:$B$175,$B221,'11.2. Нови активи отч.год.'!$E$155:$E$175)+SUMIF('11.2. Нови активи отч.год.'!$B$155:$B$175,$B221,'11.2. Нови активи отч.год.'!G$155:G$175)</f>
        <v>7</v>
      </c>
      <c r="H221" s="2783">
        <f>$E221-SUMIF('11.2. Нови активи отч.год.'!$B$155:$B$175,$B221,'11.2. Нови активи отч.год.'!$E$155:$E$175)+SUMIF('11.2. Нови активи отч.год.'!$B$155:$B$175,$B221,'11.2. Нови активи отч.год.'!H$155:H$175)</f>
        <v>7</v>
      </c>
      <c r="I221" s="2783">
        <f>$E221-SUMIF('11.2. Нови активи отч.год.'!$B$155:$B$175,$B221,'11.2. Нови активи отч.год.'!$E$155:$E$175)+SUMIF('11.2. Нови активи отч.год.'!$B$155:$B$175,$B221,'11.2. Нови активи отч.год.'!I$155:I$175)</f>
        <v>7</v>
      </c>
      <c r="J221" s="2783">
        <f>$E221-SUMIF('11.2. Нови активи отч.год.'!$B$155:$B$175,$B221,'11.2. Нови активи отч.год.'!$E$155:$E$175)+SUMIF('11.2. Нови активи отч.год.'!$B$155:$B$175,$B221,'11.2. Нови активи отч.год.'!J$155:J$175)</f>
        <v>7</v>
      </c>
      <c r="K221" s="2784">
        <f>$E221-SUMIF('11.2. Нови активи отч.год.'!$B$155:$B$175,$B221,'11.2. Нови активи отч.год.'!$E$155:$E$175)+SUMIF('11.2. Нови активи отч.год.'!$B$155:$B$175,$B221,'11.2. Нови активи отч.год.'!K$155:K$175)</f>
        <v>7</v>
      </c>
      <c r="L221" s="2246">
        <v>0</v>
      </c>
      <c r="M221" s="2782">
        <f>$L221-SUMIF('11.2. Нови активи отч.год.'!$B$155:$B$175,$B221,'11.2. Нови активи отч.год.'!$L$155:$L$175)+SUMIF('11.2. Нови активи отч.год.'!$B$155:$B$175,$B221,'11.2. Нови активи отч.год.'!M$155:M$175)</f>
        <v>0</v>
      </c>
      <c r="N221" s="2783">
        <f>$L221-SUMIF('11.2. Нови активи отч.год.'!$B$155:$B$175,$B221,'11.2. Нови активи отч.год.'!$L$155:$L$175)+SUMIF('11.2. Нови активи отч.год.'!$B$155:$B$175,$B221,'11.2. Нови активи отч.год.'!N$155:N$175)</f>
        <v>0</v>
      </c>
      <c r="O221" s="2783">
        <f>$L221-SUMIF('11.2. Нови активи отч.год.'!$B$155:$B$175,$B221,'11.2. Нови активи отч.год.'!$L$155:$L$175)+SUMIF('11.2. Нови активи отч.год.'!$B$155:$B$175,$B221,'11.2. Нови активи отч.год.'!O$155:O$175)</f>
        <v>0</v>
      </c>
      <c r="P221" s="2783">
        <f>$L221-SUMIF('11.2. Нови активи отч.год.'!$B$155:$B$175,$B221,'11.2. Нови активи отч.год.'!$L$155:$L$175)+SUMIF('11.2. Нови активи отч.год.'!$B$155:$B$175,$B221,'11.2. Нови активи отч.год.'!P$155:P$175)</f>
        <v>0</v>
      </c>
      <c r="Q221" s="2783">
        <f>$L221-SUMIF('11.2. Нови активи отч.год.'!$B$155:$B$175,$B221,'11.2. Нови активи отч.год.'!$L$155:$L$175)+SUMIF('11.2. Нови активи отч.год.'!$B$155:$B$175,$B221,'11.2. Нови активи отч.год.'!Q$155:Q$175)</f>
        <v>0</v>
      </c>
      <c r="R221" s="2784">
        <f>$L221-SUMIF('11.2. Нови активи отч.год.'!$B$155:$B$175,$B221,'11.2. Нови активи отч.год.'!$L$155:$L$175)+SUMIF('11.2. Нови активи отч.год.'!$B$155:$B$175,$B221,'11.2. Нови активи отч.год.'!R$155:R$175)</f>
        <v>0</v>
      </c>
      <c r="S221" s="2246">
        <v>0</v>
      </c>
      <c r="T221" s="2782">
        <f>$S221-SUMIF('11.2. Нови активи отч.год.'!$B$155:$B$175,$B221,'11.2. Нови активи отч.год.'!$S$155:$S$175)+SUMIF('11.2. Нови активи отч.год.'!$B$155:$B$175,$B221,'11.2. Нови активи отч.год.'!T$155:T$175)</f>
        <v>0</v>
      </c>
      <c r="U221" s="2783">
        <f>$S221-SUMIF('11.2. Нови активи отч.год.'!$B$155:$B$175,$B221,'11.2. Нови активи отч.год.'!$S$155:$S$175)+SUMIF('11.2. Нови активи отч.год.'!$B$155:$B$175,$B221,'11.2. Нови активи отч.год.'!U$155:U$175)</f>
        <v>0</v>
      </c>
      <c r="V221" s="2783">
        <f>$S221-SUMIF('11.2. Нови активи отч.год.'!$B$155:$B$175,$B221,'11.2. Нови активи отч.год.'!$S$155:$S$175)+SUMIF('11.2. Нови активи отч.год.'!$B$155:$B$175,$B221,'11.2. Нови активи отч.год.'!V$155:V$175)</f>
        <v>0</v>
      </c>
      <c r="W221" s="2783">
        <f>$S221-SUMIF('11.2. Нови активи отч.год.'!$B$155:$B$175,$B221,'11.2. Нови активи отч.год.'!$S$155:$S$175)+SUMIF('11.2. Нови активи отч.год.'!$B$155:$B$175,$B221,'11.2. Нови активи отч.год.'!W$155:W$175)</f>
        <v>0</v>
      </c>
      <c r="X221" s="2783">
        <f>$S221-SUMIF('11.2. Нови активи отч.год.'!$B$155:$B$175,$B221,'11.2. Нови активи отч.год.'!$S$155:$S$175)+SUMIF('11.2. Нови активи отч.год.'!$B$155:$B$175,$B221,'11.2. Нови активи отч.год.'!X$155:X$175)</f>
        <v>0</v>
      </c>
      <c r="Y221" s="2784">
        <f>$S221-SUMIF('11.2. Нови активи отч.год.'!$B$155:$B$175,$B221,'11.2. Нови активи отч.год.'!$S$155:$S$175)+SUMIF('11.2. Нови активи отч.год.'!$B$155:$B$175,$B221,'11.2. Нови активи отч.год.'!Y$155:Y$175)</f>
        <v>0</v>
      </c>
      <c r="Z221" s="1681"/>
      <c r="AA221" s="1703"/>
      <c r="AB221" s="1727"/>
    </row>
    <row r="222" spans="1:28" s="1643" customFormat="1">
      <c r="A222" s="1730">
        <v>9</v>
      </c>
      <c r="B222" s="1675">
        <v>911306</v>
      </c>
      <c r="C222" s="1676">
        <v>0.1</v>
      </c>
      <c r="D222" s="1626" t="s">
        <v>1471</v>
      </c>
      <c r="E222" s="2246">
        <v>2.5</v>
      </c>
      <c r="F222" s="2782">
        <f>$E222-SUMIF('11.2. Нови активи отч.год.'!$B$155:$B$175,$B222,'11.2. Нови активи отч.год.'!$E$155:$E$175)+SUMIF('11.2. Нови активи отч.год.'!$B$155:$B$175,$B222,'11.2. Нови активи отч.год.'!F$155:F$175)</f>
        <v>2.5</v>
      </c>
      <c r="G222" s="2783">
        <f>$E222-SUMIF('11.2. Нови активи отч.год.'!$B$155:$B$175,$B222,'11.2. Нови активи отч.год.'!$E$155:$E$175)+SUMIF('11.2. Нови активи отч.год.'!$B$155:$B$175,$B222,'11.2. Нови активи отч.год.'!G$155:G$175)</f>
        <v>2.5</v>
      </c>
      <c r="H222" s="2783">
        <f>$E222-SUMIF('11.2. Нови активи отч.год.'!$B$155:$B$175,$B222,'11.2. Нови активи отч.год.'!$E$155:$E$175)+SUMIF('11.2. Нови активи отч.год.'!$B$155:$B$175,$B222,'11.2. Нови активи отч.год.'!H$155:H$175)</f>
        <v>2.5</v>
      </c>
      <c r="I222" s="2783">
        <f>$E222-SUMIF('11.2. Нови активи отч.год.'!$B$155:$B$175,$B222,'11.2. Нови активи отч.год.'!$E$155:$E$175)+SUMIF('11.2. Нови активи отч.год.'!$B$155:$B$175,$B222,'11.2. Нови активи отч.год.'!I$155:I$175)</f>
        <v>2.5</v>
      </c>
      <c r="J222" s="2783">
        <f>$E222-SUMIF('11.2. Нови активи отч.год.'!$B$155:$B$175,$B222,'11.2. Нови активи отч.год.'!$E$155:$E$175)+SUMIF('11.2. Нови активи отч.год.'!$B$155:$B$175,$B222,'11.2. Нови активи отч.год.'!J$155:J$175)</f>
        <v>2.5</v>
      </c>
      <c r="K222" s="2784">
        <f>$E222-SUMIF('11.2. Нови активи отч.год.'!$B$155:$B$175,$B222,'11.2. Нови активи отч.год.'!$E$155:$E$175)+SUMIF('11.2. Нови активи отч.год.'!$B$155:$B$175,$B222,'11.2. Нови активи отч.год.'!K$155:K$175)</f>
        <v>1.5</v>
      </c>
      <c r="L222" s="2246">
        <v>0</v>
      </c>
      <c r="M222" s="2782">
        <f>$L222-SUMIF('11.2. Нови активи отч.год.'!$B$155:$B$175,$B222,'11.2. Нови активи отч.год.'!$L$155:$L$175)+SUMIF('11.2. Нови активи отч.год.'!$B$155:$B$175,$B222,'11.2. Нови активи отч.год.'!M$155:M$175)</f>
        <v>0</v>
      </c>
      <c r="N222" s="2783">
        <f>$L222-SUMIF('11.2. Нови активи отч.год.'!$B$155:$B$175,$B222,'11.2. Нови активи отч.год.'!$L$155:$L$175)+SUMIF('11.2. Нови активи отч.год.'!$B$155:$B$175,$B222,'11.2. Нови активи отч.год.'!N$155:N$175)</f>
        <v>0</v>
      </c>
      <c r="O222" s="2783">
        <f>$L222-SUMIF('11.2. Нови активи отч.год.'!$B$155:$B$175,$B222,'11.2. Нови активи отч.год.'!$L$155:$L$175)+SUMIF('11.2. Нови активи отч.год.'!$B$155:$B$175,$B222,'11.2. Нови активи отч.год.'!O$155:O$175)</f>
        <v>0</v>
      </c>
      <c r="P222" s="2783">
        <f>$L222-SUMIF('11.2. Нови активи отч.год.'!$B$155:$B$175,$B222,'11.2. Нови активи отч.год.'!$L$155:$L$175)+SUMIF('11.2. Нови активи отч.год.'!$B$155:$B$175,$B222,'11.2. Нови активи отч.год.'!P$155:P$175)</f>
        <v>0</v>
      </c>
      <c r="Q222" s="2783">
        <f>$L222-SUMIF('11.2. Нови активи отч.год.'!$B$155:$B$175,$B222,'11.2. Нови активи отч.год.'!$L$155:$L$175)+SUMIF('11.2. Нови активи отч.год.'!$B$155:$B$175,$B222,'11.2. Нови активи отч.год.'!Q$155:Q$175)</f>
        <v>0</v>
      </c>
      <c r="R222" s="2784">
        <f>$L222-SUMIF('11.2. Нови активи отч.год.'!$B$155:$B$175,$B222,'11.2. Нови активи отч.год.'!$L$155:$L$175)+SUMIF('11.2. Нови активи отч.год.'!$B$155:$B$175,$B222,'11.2. Нови активи отч.год.'!R$155:R$175)</f>
        <v>0</v>
      </c>
      <c r="S222" s="2246">
        <v>5</v>
      </c>
      <c r="T222" s="2782">
        <f>$S222-SUMIF('11.2. Нови активи отч.год.'!$B$155:$B$175,$B222,'11.2. Нови активи отч.год.'!$S$155:$S$175)+SUMIF('11.2. Нови активи отч.год.'!$B$155:$B$175,$B222,'11.2. Нови активи отч.год.'!T$155:T$175)</f>
        <v>5</v>
      </c>
      <c r="U222" s="2783">
        <f>$S222-SUMIF('11.2. Нови активи отч.год.'!$B$155:$B$175,$B222,'11.2. Нови активи отч.год.'!$S$155:$S$175)+SUMIF('11.2. Нови активи отч.год.'!$B$155:$B$175,$B222,'11.2. Нови активи отч.год.'!U$155:U$175)</f>
        <v>5</v>
      </c>
      <c r="V222" s="2783">
        <f>$S222-SUMIF('11.2. Нови активи отч.год.'!$B$155:$B$175,$B222,'11.2. Нови активи отч.год.'!$S$155:$S$175)+SUMIF('11.2. Нови активи отч.год.'!$B$155:$B$175,$B222,'11.2. Нови активи отч.год.'!V$155:V$175)</f>
        <v>5</v>
      </c>
      <c r="W222" s="2783">
        <f>$S222-SUMIF('11.2. Нови активи отч.год.'!$B$155:$B$175,$B222,'11.2. Нови активи отч.год.'!$S$155:$S$175)+SUMIF('11.2. Нови активи отч.год.'!$B$155:$B$175,$B222,'11.2. Нови активи отч.год.'!W$155:W$175)</f>
        <v>5</v>
      </c>
      <c r="X222" s="2783">
        <f>$S222-SUMIF('11.2. Нови активи отч.год.'!$B$155:$B$175,$B222,'11.2. Нови активи отч.год.'!$S$155:$S$175)+SUMIF('11.2. Нови активи отч.год.'!$B$155:$B$175,$B222,'11.2. Нови активи отч.год.'!X$155:X$175)</f>
        <v>5</v>
      </c>
      <c r="Y222" s="2784">
        <f>$S222-SUMIF('11.2. Нови активи отч.год.'!$B$155:$B$175,$B222,'11.2. Нови активи отч.год.'!$S$155:$S$175)+SUMIF('11.2. Нови активи отч.год.'!$B$155:$B$175,$B222,'11.2. Нови активи отч.год.'!Y$155:Y$175)</f>
        <v>5</v>
      </c>
      <c r="Z222" s="1681"/>
      <c r="AA222" s="1703"/>
      <c r="AB222" s="1727"/>
    </row>
    <row r="223" spans="1:28" s="1643" customFormat="1">
      <c r="A223" s="1730">
        <v>10</v>
      </c>
      <c r="B223" s="1675">
        <v>91140101</v>
      </c>
      <c r="C223" s="1729">
        <v>0.1</v>
      </c>
      <c r="D223" s="1638" t="s">
        <v>1442</v>
      </c>
      <c r="E223" s="2246">
        <v>6</v>
      </c>
      <c r="F223" s="2782">
        <f>$E223-SUMIF('11.2. Нови активи отч.год.'!$B$155:$B$175,$B223,'11.2. Нови активи отч.год.'!$E$155:$E$175)+SUMIF('11.2. Нови активи отч.год.'!$B$155:$B$175,$B223,'11.2. Нови активи отч.год.'!F$155:F$175)</f>
        <v>6</v>
      </c>
      <c r="G223" s="2783">
        <f>$E223-SUMIF('11.2. Нови активи отч.год.'!$B$155:$B$175,$B223,'11.2. Нови активи отч.год.'!$E$155:$E$175)+SUMIF('11.2. Нови активи отч.год.'!$B$155:$B$175,$B223,'11.2. Нови активи отч.год.'!G$155:G$175)</f>
        <v>6</v>
      </c>
      <c r="H223" s="2783">
        <f>$E223-SUMIF('11.2. Нови активи отч.год.'!$B$155:$B$175,$B223,'11.2. Нови активи отч.год.'!$E$155:$E$175)+SUMIF('11.2. Нови активи отч.год.'!$B$155:$B$175,$B223,'11.2. Нови активи отч.год.'!H$155:H$175)</f>
        <v>6</v>
      </c>
      <c r="I223" s="2783">
        <f>$E223-SUMIF('11.2. Нови активи отч.год.'!$B$155:$B$175,$B223,'11.2. Нови активи отч.год.'!$E$155:$E$175)+SUMIF('11.2. Нови активи отч.год.'!$B$155:$B$175,$B223,'11.2. Нови активи отч.год.'!I$155:I$175)</f>
        <v>6</v>
      </c>
      <c r="J223" s="2783">
        <f>$E223-SUMIF('11.2. Нови активи отч.год.'!$B$155:$B$175,$B223,'11.2. Нови активи отч.год.'!$E$155:$E$175)+SUMIF('11.2. Нови активи отч.год.'!$B$155:$B$175,$B223,'11.2. Нови активи отч.год.'!J$155:J$175)</f>
        <v>6</v>
      </c>
      <c r="K223" s="2784">
        <f>$E223-SUMIF('11.2. Нови активи отч.год.'!$B$155:$B$175,$B223,'11.2. Нови активи отч.год.'!$E$155:$E$175)+SUMIF('11.2. Нови активи отч.год.'!$B$155:$B$175,$B223,'11.2. Нови активи отч.год.'!K$155:K$175)</f>
        <v>6</v>
      </c>
      <c r="L223" s="2246">
        <v>0</v>
      </c>
      <c r="M223" s="2782">
        <f>$L223-SUMIF('11.2. Нови активи отч.год.'!$B$155:$B$175,$B223,'11.2. Нови активи отч.год.'!$L$155:$L$175)+SUMIF('11.2. Нови активи отч.год.'!$B$155:$B$175,$B223,'11.2. Нови активи отч.год.'!M$155:M$175)</f>
        <v>0</v>
      </c>
      <c r="N223" s="2783">
        <f>$L223-SUMIF('11.2. Нови активи отч.год.'!$B$155:$B$175,$B223,'11.2. Нови активи отч.год.'!$L$155:$L$175)+SUMIF('11.2. Нови активи отч.год.'!$B$155:$B$175,$B223,'11.2. Нови активи отч.год.'!N$155:N$175)</f>
        <v>0</v>
      </c>
      <c r="O223" s="2783">
        <f>$L223-SUMIF('11.2. Нови активи отч.год.'!$B$155:$B$175,$B223,'11.2. Нови активи отч.год.'!$L$155:$L$175)+SUMIF('11.2. Нови активи отч.год.'!$B$155:$B$175,$B223,'11.2. Нови активи отч.год.'!O$155:O$175)</f>
        <v>0</v>
      </c>
      <c r="P223" s="2783">
        <f>$L223-SUMIF('11.2. Нови активи отч.год.'!$B$155:$B$175,$B223,'11.2. Нови активи отч.год.'!$L$155:$L$175)+SUMIF('11.2. Нови активи отч.год.'!$B$155:$B$175,$B223,'11.2. Нови активи отч.год.'!P$155:P$175)</f>
        <v>0</v>
      </c>
      <c r="Q223" s="2783">
        <f>$L223-SUMIF('11.2. Нови активи отч.год.'!$B$155:$B$175,$B223,'11.2. Нови активи отч.год.'!$L$155:$L$175)+SUMIF('11.2. Нови активи отч.год.'!$B$155:$B$175,$B223,'11.2. Нови активи отч.год.'!Q$155:Q$175)</f>
        <v>0</v>
      </c>
      <c r="R223" s="2784">
        <f>$L223-SUMIF('11.2. Нови активи отч.год.'!$B$155:$B$175,$B223,'11.2. Нови активи отч.год.'!$L$155:$L$175)+SUMIF('11.2. Нови активи отч.год.'!$B$155:$B$175,$B223,'11.2. Нови активи отч.год.'!R$155:R$175)</f>
        <v>0</v>
      </c>
      <c r="S223" s="2246">
        <v>0</v>
      </c>
      <c r="T223" s="2782">
        <f>$S223-SUMIF('11.2. Нови активи отч.год.'!$B$155:$B$175,$B223,'11.2. Нови активи отч.год.'!$S$155:$S$175)+SUMIF('11.2. Нови активи отч.год.'!$B$155:$B$175,$B223,'11.2. Нови активи отч.год.'!T$155:T$175)</f>
        <v>0</v>
      </c>
      <c r="U223" s="2783">
        <f>$S223-SUMIF('11.2. Нови активи отч.год.'!$B$155:$B$175,$B223,'11.2. Нови активи отч.год.'!$S$155:$S$175)+SUMIF('11.2. Нови активи отч.год.'!$B$155:$B$175,$B223,'11.2. Нови активи отч.год.'!U$155:U$175)</f>
        <v>0</v>
      </c>
      <c r="V223" s="2783">
        <f>$S223-SUMIF('11.2. Нови активи отч.год.'!$B$155:$B$175,$B223,'11.2. Нови активи отч.год.'!$S$155:$S$175)+SUMIF('11.2. Нови активи отч.год.'!$B$155:$B$175,$B223,'11.2. Нови активи отч.год.'!V$155:V$175)</f>
        <v>0</v>
      </c>
      <c r="W223" s="2783">
        <f>$S223-SUMIF('11.2. Нови активи отч.год.'!$B$155:$B$175,$B223,'11.2. Нови активи отч.год.'!$S$155:$S$175)+SUMIF('11.2. Нови активи отч.год.'!$B$155:$B$175,$B223,'11.2. Нови активи отч.год.'!W$155:W$175)</f>
        <v>0</v>
      </c>
      <c r="X223" s="2783">
        <f>$S223-SUMIF('11.2. Нови активи отч.год.'!$B$155:$B$175,$B223,'11.2. Нови активи отч.год.'!$S$155:$S$175)+SUMIF('11.2. Нови активи отч.год.'!$B$155:$B$175,$B223,'11.2. Нови активи отч.год.'!X$155:X$175)</f>
        <v>0</v>
      </c>
      <c r="Y223" s="2784">
        <f>$S223-SUMIF('11.2. Нови активи отч.год.'!$B$155:$B$175,$B223,'11.2. Нови активи отч.год.'!$S$155:$S$175)+SUMIF('11.2. Нови активи отч.год.'!$B$155:$B$175,$B223,'11.2. Нови активи отч.год.'!Y$155:Y$175)</f>
        <v>0</v>
      </c>
      <c r="Z223" s="1681"/>
      <c r="AA223" s="1703"/>
      <c r="AB223" s="1727"/>
    </row>
    <row r="224" spans="1:28" s="1643" customFormat="1">
      <c r="A224" s="1730">
        <v>11</v>
      </c>
      <c r="B224" s="1675">
        <v>91140102</v>
      </c>
      <c r="C224" s="1729">
        <v>0.04</v>
      </c>
      <c r="D224" s="1638" t="s">
        <v>604</v>
      </c>
      <c r="E224" s="2246">
        <v>0.1</v>
      </c>
      <c r="F224" s="2782">
        <f>$E224-SUMIF('11.2. Нови активи отч.год.'!$B$155:$B$175,$B224,'11.2. Нови активи отч.год.'!$E$155:$E$175)+SUMIF('11.2. Нови активи отч.год.'!$B$155:$B$175,$B224,'11.2. Нови активи отч.год.'!F$155:F$175)</f>
        <v>0.1</v>
      </c>
      <c r="G224" s="2783">
        <f>$E224-SUMIF('11.2. Нови активи отч.год.'!$B$155:$B$175,$B224,'11.2. Нови активи отч.год.'!$E$155:$E$175)+SUMIF('11.2. Нови активи отч.год.'!$B$155:$B$175,$B224,'11.2. Нови активи отч.год.'!G$155:G$175)</f>
        <v>0.1</v>
      </c>
      <c r="H224" s="2783">
        <f>$E224-SUMIF('11.2. Нови активи отч.год.'!$B$155:$B$175,$B224,'11.2. Нови активи отч.год.'!$E$155:$E$175)+SUMIF('11.2. Нови активи отч.год.'!$B$155:$B$175,$B224,'11.2. Нови активи отч.год.'!H$155:H$175)</f>
        <v>0.1</v>
      </c>
      <c r="I224" s="2783">
        <f>$E224-SUMIF('11.2. Нови активи отч.год.'!$B$155:$B$175,$B224,'11.2. Нови активи отч.год.'!$E$155:$E$175)+SUMIF('11.2. Нови активи отч.год.'!$B$155:$B$175,$B224,'11.2. Нови активи отч.год.'!I$155:I$175)</f>
        <v>0.1</v>
      </c>
      <c r="J224" s="2783">
        <f>$E224-SUMIF('11.2. Нови активи отч.год.'!$B$155:$B$175,$B224,'11.2. Нови активи отч.год.'!$E$155:$E$175)+SUMIF('11.2. Нови активи отч.год.'!$B$155:$B$175,$B224,'11.2. Нови активи отч.год.'!J$155:J$175)</f>
        <v>0.1</v>
      </c>
      <c r="K224" s="2784">
        <f>$E224-SUMIF('11.2. Нови активи отч.год.'!$B$155:$B$175,$B224,'11.2. Нови активи отч.год.'!$E$155:$E$175)+SUMIF('11.2. Нови активи отч.год.'!$B$155:$B$175,$B224,'11.2. Нови активи отч.год.'!K$155:K$175)</f>
        <v>0.1</v>
      </c>
      <c r="L224" s="2246">
        <v>0</v>
      </c>
      <c r="M224" s="2782">
        <f>$L224-SUMIF('11.2. Нови активи отч.год.'!$B$155:$B$175,$B224,'11.2. Нови активи отч.год.'!$L$155:$L$175)+SUMIF('11.2. Нови активи отч.год.'!$B$155:$B$175,$B224,'11.2. Нови активи отч.год.'!M$155:M$175)</f>
        <v>0</v>
      </c>
      <c r="N224" s="2783">
        <f>$L224-SUMIF('11.2. Нови активи отч.год.'!$B$155:$B$175,$B224,'11.2. Нови активи отч.год.'!$L$155:$L$175)+SUMIF('11.2. Нови активи отч.год.'!$B$155:$B$175,$B224,'11.2. Нови активи отч.год.'!N$155:N$175)</f>
        <v>0</v>
      </c>
      <c r="O224" s="2783">
        <f>$L224-SUMIF('11.2. Нови активи отч.год.'!$B$155:$B$175,$B224,'11.2. Нови активи отч.год.'!$L$155:$L$175)+SUMIF('11.2. Нови активи отч.год.'!$B$155:$B$175,$B224,'11.2. Нови активи отч.год.'!O$155:O$175)</f>
        <v>0</v>
      </c>
      <c r="P224" s="2783">
        <f>$L224-SUMIF('11.2. Нови активи отч.год.'!$B$155:$B$175,$B224,'11.2. Нови активи отч.год.'!$L$155:$L$175)+SUMIF('11.2. Нови активи отч.год.'!$B$155:$B$175,$B224,'11.2. Нови активи отч.год.'!P$155:P$175)</f>
        <v>0</v>
      </c>
      <c r="Q224" s="2783">
        <f>$L224-SUMIF('11.2. Нови активи отч.год.'!$B$155:$B$175,$B224,'11.2. Нови активи отч.год.'!$L$155:$L$175)+SUMIF('11.2. Нови активи отч.год.'!$B$155:$B$175,$B224,'11.2. Нови активи отч.год.'!Q$155:Q$175)</f>
        <v>0</v>
      </c>
      <c r="R224" s="2784">
        <f>$L224-SUMIF('11.2. Нови активи отч.год.'!$B$155:$B$175,$B224,'11.2. Нови активи отч.год.'!$L$155:$L$175)+SUMIF('11.2. Нови активи отч.год.'!$B$155:$B$175,$B224,'11.2. Нови активи отч.год.'!R$155:R$175)</f>
        <v>0</v>
      </c>
      <c r="S224" s="2246">
        <v>0</v>
      </c>
      <c r="T224" s="2782">
        <f>$S224-SUMIF('11.2. Нови активи отч.год.'!$B$155:$B$175,$B224,'11.2. Нови активи отч.год.'!$S$155:$S$175)+SUMIF('11.2. Нови активи отч.год.'!$B$155:$B$175,$B224,'11.2. Нови активи отч.год.'!T$155:T$175)</f>
        <v>0</v>
      </c>
      <c r="U224" s="2783">
        <f>$S224-SUMIF('11.2. Нови активи отч.год.'!$B$155:$B$175,$B224,'11.2. Нови активи отч.год.'!$S$155:$S$175)+SUMIF('11.2. Нови активи отч.год.'!$B$155:$B$175,$B224,'11.2. Нови активи отч.год.'!U$155:U$175)</f>
        <v>0</v>
      </c>
      <c r="V224" s="2783">
        <f>$S224-SUMIF('11.2. Нови активи отч.год.'!$B$155:$B$175,$B224,'11.2. Нови активи отч.год.'!$S$155:$S$175)+SUMIF('11.2. Нови активи отч.год.'!$B$155:$B$175,$B224,'11.2. Нови активи отч.год.'!V$155:V$175)</f>
        <v>0</v>
      </c>
      <c r="W224" s="2783">
        <f>$S224-SUMIF('11.2. Нови активи отч.год.'!$B$155:$B$175,$B224,'11.2. Нови активи отч.год.'!$S$155:$S$175)+SUMIF('11.2. Нови активи отч.год.'!$B$155:$B$175,$B224,'11.2. Нови активи отч.год.'!W$155:W$175)</f>
        <v>0</v>
      </c>
      <c r="X224" s="2783">
        <f>$S224-SUMIF('11.2. Нови активи отч.год.'!$B$155:$B$175,$B224,'11.2. Нови активи отч.год.'!$S$155:$S$175)+SUMIF('11.2. Нови активи отч.год.'!$B$155:$B$175,$B224,'11.2. Нови активи отч.год.'!X$155:X$175)</f>
        <v>0</v>
      </c>
      <c r="Y224" s="2784">
        <f>$S224-SUMIF('11.2. Нови активи отч.год.'!$B$155:$B$175,$B224,'11.2. Нови активи отч.год.'!$S$155:$S$175)+SUMIF('11.2. Нови активи отч.год.'!$B$155:$B$175,$B224,'11.2. Нови активи отч.год.'!Y$155:Y$175)</f>
        <v>0</v>
      </c>
      <c r="Z224" s="1681"/>
      <c r="AA224" s="1703"/>
      <c r="AB224" s="1727"/>
    </row>
    <row r="225" spans="1:28" s="1643" customFormat="1">
      <c r="A225" s="1730">
        <v>12</v>
      </c>
      <c r="B225" s="1675" t="s">
        <v>951</v>
      </c>
      <c r="C225" s="1676">
        <v>0.02</v>
      </c>
      <c r="D225" s="1624" t="s">
        <v>1007</v>
      </c>
      <c r="E225" s="2246">
        <v>0</v>
      </c>
      <c r="F225" s="2782">
        <f>$E225-SUMIF('11.2. Нови активи отч.год.'!$B$155:$B$175,$B225,'11.2. Нови активи отч.год.'!$E$155:$E$175)+SUMIF('11.2. Нови активи отч.год.'!$B$155:$B$175,$B225,'11.2. Нови активи отч.год.'!F$155:F$175)</f>
        <v>0</v>
      </c>
      <c r="G225" s="2783">
        <f>$E225-SUMIF('11.2. Нови активи отч.год.'!$B$155:$B$175,$B225,'11.2. Нови активи отч.год.'!$E$155:$E$175)+SUMIF('11.2. Нови активи отч.год.'!$B$155:$B$175,$B225,'11.2. Нови активи отч.год.'!G$155:G$175)</f>
        <v>0</v>
      </c>
      <c r="H225" s="2783">
        <f>$E225-SUMIF('11.2. Нови активи отч.год.'!$B$155:$B$175,$B225,'11.2. Нови активи отч.год.'!$E$155:$E$175)+SUMIF('11.2. Нови активи отч.год.'!$B$155:$B$175,$B225,'11.2. Нови активи отч.год.'!H$155:H$175)</f>
        <v>0</v>
      </c>
      <c r="I225" s="2783">
        <f>$E225-SUMIF('11.2. Нови активи отч.год.'!$B$155:$B$175,$B225,'11.2. Нови активи отч.год.'!$E$155:$E$175)+SUMIF('11.2. Нови активи отч.год.'!$B$155:$B$175,$B225,'11.2. Нови активи отч.год.'!I$155:I$175)</f>
        <v>0</v>
      </c>
      <c r="J225" s="2783">
        <f>$E225-SUMIF('11.2. Нови активи отч.год.'!$B$155:$B$175,$B225,'11.2. Нови активи отч.год.'!$E$155:$E$175)+SUMIF('11.2. Нови активи отч.год.'!$B$155:$B$175,$B225,'11.2. Нови активи отч.год.'!J$155:J$175)</f>
        <v>0</v>
      </c>
      <c r="K225" s="2784">
        <f>$E225-SUMIF('11.2. Нови активи отч.год.'!$B$155:$B$175,$B225,'11.2. Нови активи отч.год.'!$E$155:$E$175)+SUMIF('11.2. Нови активи отч.год.'!$B$155:$B$175,$B225,'11.2. Нови активи отч.год.'!K$155:K$175)</f>
        <v>0</v>
      </c>
      <c r="L225" s="2246">
        <v>0</v>
      </c>
      <c r="M225" s="2782">
        <f>$L225-SUMIF('11.2. Нови активи отч.год.'!$B$155:$B$175,$B225,'11.2. Нови активи отч.год.'!$L$155:$L$175)+SUMIF('11.2. Нови активи отч.год.'!$B$155:$B$175,$B225,'11.2. Нови активи отч.год.'!M$155:M$175)</f>
        <v>0</v>
      </c>
      <c r="N225" s="2783">
        <f>$L225-SUMIF('11.2. Нови активи отч.год.'!$B$155:$B$175,$B225,'11.2. Нови активи отч.год.'!$L$155:$L$175)+SUMIF('11.2. Нови активи отч.год.'!$B$155:$B$175,$B225,'11.2. Нови активи отч.год.'!N$155:N$175)</f>
        <v>0</v>
      </c>
      <c r="O225" s="2783">
        <f>$L225-SUMIF('11.2. Нови активи отч.год.'!$B$155:$B$175,$B225,'11.2. Нови активи отч.год.'!$L$155:$L$175)+SUMIF('11.2. Нови активи отч.год.'!$B$155:$B$175,$B225,'11.2. Нови активи отч.год.'!O$155:O$175)</f>
        <v>0</v>
      </c>
      <c r="P225" s="2783">
        <f>$L225-SUMIF('11.2. Нови активи отч.год.'!$B$155:$B$175,$B225,'11.2. Нови активи отч.год.'!$L$155:$L$175)+SUMIF('11.2. Нови активи отч.год.'!$B$155:$B$175,$B225,'11.2. Нови активи отч.год.'!P$155:P$175)</f>
        <v>0</v>
      </c>
      <c r="Q225" s="2783">
        <f>$L225-SUMIF('11.2. Нови активи отч.год.'!$B$155:$B$175,$B225,'11.2. Нови активи отч.год.'!$L$155:$L$175)+SUMIF('11.2. Нови активи отч.год.'!$B$155:$B$175,$B225,'11.2. Нови активи отч.год.'!Q$155:Q$175)</f>
        <v>0</v>
      </c>
      <c r="R225" s="2784">
        <f>$L225-SUMIF('11.2. Нови активи отч.год.'!$B$155:$B$175,$B225,'11.2. Нови активи отч.год.'!$L$155:$L$175)+SUMIF('11.2. Нови активи отч.год.'!$B$155:$B$175,$B225,'11.2. Нови активи отч.год.'!R$155:R$175)</f>
        <v>0</v>
      </c>
      <c r="S225" s="2246">
        <v>0</v>
      </c>
      <c r="T225" s="2782">
        <f>$S225-SUMIF('11.2. Нови активи отч.год.'!$B$155:$B$175,$B225,'11.2. Нови активи отч.год.'!$S$155:$S$175)+SUMIF('11.2. Нови активи отч.год.'!$B$155:$B$175,$B225,'11.2. Нови активи отч.год.'!T$155:T$175)</f>
        <v>0</v>
      </c>
      <c r="U225" s="2783">
        <f>$S225-SUMIF('11.2. Нови активи отч.год.'!$B$155:$B$175,$B225,'11.2. Нови активи отч.год.'!$S$155:$S$175)+SUMIF('11.2. Нови активи отч.год.'!$B$155:$B$175,$B225,'11.2. Нови активи отч.год.'!U$155:U$175)</f>
        <v>0</v>
      </c>
      <c r="V225" s="2783">
        <f>$S225-SUMIF('11.2. Нови активи отч.год.'!$B$155:$B$175,$B225,'11.2. Нови активи отч.год.'!$S$155:$S$175)+SUMIF('11.2. Нови активи отч.год.'!$B$155:$B$175,$B225,'11.2. Нови активи отч.год.'!V$155:V$175)</f>
        <v>0</v>
      </c>
      <c r="W225" s="2783">
        <f>$S225-SUMIF('11.2. Нови активи отч.год.'!$B$155:$B$175,$B225,'11.2. Нови активи отч.год.'!$S$155:$S$175)+SUMIF('11.2. Нови активи отч.год.'!$B$155:$B$175,$B225,'11.2. Нови активи отч.год.'!W$155:W$175)</f>
        <v>0</v>
      </c>
      <c r="X225" s="2783">
        <f>$S225-SUMIF('11.2. Нови активи отч.год.'!$B$155:$B$175,$B225,'11.2. Нови активи отч.год.'!$S$155:$S$175)+SUMIF('11.2. Нови активи отч.год.'!$B$155:$B$175,$B225,'11.2. Нови активи отч.год.'!X$155:X$175)</f>
        <v>0</v>
      </c>
      <c r="Y225" s="2784">
        <f>$S225-SUMIF('11.2. Нови активи отч.год.'!$B$155:$B$175,$B225,'11.2. Нови активи отч.год.'!$S$155:$S$175)+SUMIF('11.2. Нови активи отч.год.'!$B$155:$B$175,$B225,'11.2. Нови активи отч.год.'!Y$155:Y$175)</f>
        <v>0</v>
      </c>
      <c r="Z225" s="1681"/>
      <c r="AA225" s="1703"/>
      <c r="AB225" s="1727"/>
    </row>
    <row r="226" spans="1:28" s="1643" customFormat="1">
      <c r="A226" s="1730">
        <v>13</v>
      </c>
      <c r="B226" s="1675" t="s">
        <v>952</v>
      </c>
      <c r="C226" s="1676">
        <v>0.02</v>
      </c>
      <c r="D226" s="1624" t="s">
        <v>1008</v>
      </c>
      <c r="E226" s="2246">
        <v>51.9</v>
      </c>
      <c r="F226" s="2782">
        <f>$E226-SUMIF('11.2. Нови активи отч.год.'!$B$155:$B$175,$B226,'11.2. Нови активи отч.год.'!$E$155:$E$175)+SUMIF('11.2. Нови активи отч.год.'!$B$155:$B$175,$B226,'11.2. Нови активи отч.год.'!F$155:F$175)</f>
        <v>51.9</v>
      </c>
      <c r="G226" s="2783">
        <f>$E226-SUMIF('11.2. Нови активи отч.год.'!$B$155:$B$175,$B226,'11.2. Нови активи отч.год.'!$E$155:$E$175)+SUMIF('11.2. Нови активи отч.год.'!$B$155:$B$175,$B226,'11.2. Нови активи отч.год.'!G$155:G$175)</f>
        <v>51.9</v>
      </c>
      <c r="H226" s="2783">
        <f>$E226-SUMIF('11.2. Нови активи отч.год.'!$B$155:$B$175,$B226,'11.2. Нови активи отч.год.'!$E$155:$E$175)+SUMIF('11.2. Нови активи отч.год.'!$B$155:$B$175,$B226,'11.2. Нови активи отч.год.'!H$155:H$175)</f>
        <v>51.9</v>
      </c>
      <c r="I226" s="2783">
        <f>$E226-SUMIF('11.2. Нови активи отч.год.'!$B$155:$B$175,$B226,'11.2. Нови активи отч.год.'!$E$155:$E$175)+SUMIF('11.2. Нови активи отч.год.'!$B$155:$B$175,$B226,'11.2. Нови активи отч.год.'!I$155:I$175)</f>
        <v>51.9</v>
      </c>
      <c r="J226" s="2783">
        <f>$E226-SUMIF('11.2. Нови активи отч.год.'!$B$155:$B$175,$B226,'11.2. Нови активи отч.год.'!$E$155:$E$175)+SUMIF('11.2. Нови активи отч.год.'!$B$155:$B$175,$B226,'11.2. Нови активи отч.год.'!J$155:J$175)</f>
        <v>51.9</v>
      </c>
      <c r="K226" s="2784">
        <f>$E226-SUMIF('11.2. Нови активи отч.год.'!$B$155:$B$175,$B226,'11.2. Нови активи отч.год.'!$E$155:$E$175)+SUMIF('11.2. Нови активи отч.год.'!$B$155:$B$175,$B226,'11.2. Нови активи отч.год.'!K$155:K$175)</f>
        <v>51.9</v>
      </c>
      <c r="L226" s="2246">
        <v>0</v>
      </c>
      <c r="M226" s="2782">
        <f>$L226-SUMIF('11.2. Нови активи отч.год.'!$B$155:$B$175,$B226,'11.2. Нови активи отч.год.'!$L$155:$L$175)+SUMIF('11.2. Нови активи отч.год.'!$B$155:$B$175,$B226,'11.2. Нови активи отч.год.'!M$155:M$175)</f>
        <v>0</v>
      </c>
      <c r="N226" s="2783">
        <f>$L226-SUMIF('11.2. Нови активи отч.год.'!$B$155:$B$175,$B226,'11.2. Нови активи отч.год.'!$L$155:$L$175)+SUMIF('11.2. Нови активи отч.год.'!$B$155:$B$175,$B226,'11.2. Нови активи отч.год.'!N$155:N$175)</f>
        <v>0</v>
      </c>
      <c r="O226" s="2783">
        <f>$L226-SUMIF('11.2. Нови активи отч.год.'!$B$155:$B$175,$B226,'11.2. Нови активи отч.год.'!$L$155:$L$175)+SUMIF('11.2. Нови активи отч.год.'!$B$155:$B$175,$B226,'11.2. Нови активи отч.год.'!O$155:O$175)</f>
        <v>0</v>
      </c>
      <c r="P226" s="2783">
        <f>$L226-SUMIF('11.2. Нови активи отч.год.'!$B$155:$B$175,$B226,'11.2. Нови активи отч.год.'!$L$155:$L$175)+SUMIF('11.2. Нови активи отч.год.'!$B$155:$B$175,$B226,'11.2. Нови активи отч.год.'!P$155:P$175)</f>
        <v>0</v>
      </c>
      <c r="Q226" s="2783">
        <f>$L226-SUMIF('11.2. Нови активи отч.год.'!$B$155:$B$175,$B226,'11.2. Нови активи отч.год.'!$L$155:$L$175)+SUMIF('11.2. Нови активи отч.год.'!$B$155:$B$175,$B226,'11.2. Нови активи отч.год.'!Q$155:Q$175)</f>
        <v>0</v>
      </c>
      <c r="R226" s="2784">
        <f>$L226-SUMIF('11.2. Нови активи отч.год.'!$B$155:$B$175,$B226,'11.2. Нови активи отч.год.'!$L$155:$L$175)+SUMIF('11.2. Нови активи отч.год.'!$B$155:$B$175,$B226,'11.2. Нови активи отч.год.'!R$155:R$175)</f>
        <v>0</v>
      </c>
      <c r="S226" s="2246">
        <v>0</v>
      </c>
      <c r="T226" s="2782">
        <f>$S226-SUMIF('11.2. Нови активи отч.год.'!$B$155:$B$175,$B226,'11.2. Нови активи отч.год.'!$S$155:$S$175)+SUMIF('11.2. Нови активи отч.год.'!$B$155:$B$175,$B226,'11.2. Нови активи отч.год.'!T$155:T$175)</f>
        <v>0</v>
      </c>
      <c r="U226" s="2783">
        <f>$S226-SUMIF('11.2. Нови активи отч.год.'!$B$155:$B$175,$B226,'11.2. Нови активи отч.год.'!$S$155:$S$175)+SUMIF('11.2. Нови активи отч.год.'!$B$155:$B$175,$B226,'11.2. Нови активи отч.год.'!U$155:U$175)</f>
        <v>0</v>
      </c>
      <c r="V226" s="2783">
        <f>$S226-SUMIF('11.2. Нови активи отч.год.'!$B$155:$B$175,$B226,'11.2. Нови активи отч.год.'!$S$155:$S$175)+SUMIF('11.2. Нови активи отч.год.'!$B$155:$B$175,$B226,'11.2. Нови активи отч.год.'!V$155:V$175)</f>
        <v>0</v>
      </c>
      <c r="W226" s="2783">
        <f>$S226-SUMIF('11.2. Нови активи отч.год.'!$B$155:$B$175,$B226,'11.2. Нови активи отч.год.'!$S$155:$S$175)+SUMIF('11.2. Нови активи отч.год.'!$B$155:$B$175,$B226,'11.2. Нови активи отч.год.'!W$155:W$175)</f>
        <v>0</v>
      </c>
      <c r="X226" s="2783">
        <f>$S226-SUMIF('11.2. Нови активи отч.год.'!$B$155:$B$175,$B226,'11.2. Нови активи отч.год.'!$S$155:$S$175)+SUMIF('11.2. Нови активи отч.год.'!$B$155:$B$175,$B226,'11.2. Нови активи отч.год.'!X$155:X$175)</f>
        <v>0</v>
      </c>
      <c r="Y226" s="2784">
        <f>$S226-SUMIF('11.2. Нови активи отч.год.'!$B$155:$B$175,$B226,'11.2. Нови активи отч.год.'!$S$155:$S$175)+SUMIF('11.2. Нови активи отч.год.'!$B$155:$B$175,$B226,'11.2. Нови активи отч.год.'!Y$155:Y$175)</f>
        <v>0</v>
      </c>
      <c r="Z226" s="1681"/>
      <c r="AA226" s="1703"/>
      <c r="AB226" s="1727"/>
    </row>
    <row r="227" spans="1:28" s="1643" customFormat="1">
      <c r="A227" s="1730">
        <v>14</v>
      </c>
      <c r="B227" s="1675" t="s">
        <v>953</v>
      </c>
      <c r="C227" s="1676">
        <v>0.02</v>
      </c>
      <c r="D227" s="1624" t="s">
        <v>590</v>
      </c>
      <c r="E227" s="2246">
        <v>2.7</v>
      </c>
      <c r="F227" s="2782">
        <f>$E227-SUMIF('11.2. Нови активи отч.год.'!$B$155:$B$175,$B227,'11.2. Нови активи отч.год.'!$E$155:$E$175)+SUMIF('11.2. Нови активи отч.год.'!$B$155:$B$175,$B227,'11.2. Нови активи отч.год.'!F$155:F$175)</f>
        <v>2.7</v>
      </c>
      <c r="G227" s="2783">
        <f>$E227-SUMIF('11.2. Нови активи отч.год.'!$B$155:$B$175,$B227,'11.2. Нови активи отч.год.'!$E$155:$E$175)+SUMIF('11.2. Нови активи отч.год.'!$B$155:$B$175,$B227,'11.2. Нови активи отч.год.'!G$155:G$175)</f>
        <v>2.7</v>
      </c>
      <c r="H227" s="2783">
        <f>$E227-SUMIF('11.2. Нови активи отч.год.'!$B$155:$B$175,$B227,'11.2. Нови активи отч.год.'!$E$155:$E$175)+SUMIF('11.2. Нови активи отч.год.'!$B$155:$B$175,$B227,'11.2. Нови активи отч.год.'!H$155:H$175)</f>
        <v>2.7</v>
      </c>
      <c r="I227" s="2783">
        <f>$E227-SUMIF('11.2. Нови активи отч.год.'!$B$155:$B$175,$B227,'11.2. Нови активи отч.год.'!$E$155:$E$175)+SUMIF('11.2. Нови активи отч.год.'!$B$155:$B$175,$B227,'11.2. Нови активи отч.год.'!I$155:I$175)</f>
        <v>2.7</v>
      </c>
      <c r="J227" s="2783">
        <f>$E227-SUMIF('11.2. Нови активи отч.год.'!$B$155:$B$175,$B227,'11.2. Нови активи отч.год.'!$E$155:$E$175)+SUMIF('11.2. Нови активи отч.год.'!$B$155:$B$175,$B227,'11.2. Нови активи отч.год.'!J$155:J$175)</f>
        <v>2.7</v>
      </c>
      <c r="K227" s="2784">
        <f>$E227-SUMIF('11.2. Нови активи отч.год.'!$B$155:$B$175,$B227,'11.2. Нови активи отч.год.'!$E$155:$E$175)+SUMIF('11.2. Нови активи отч.год.'!$B$155:$B$175,$B227,'11.2. Нови активи отч.год.'!K$155:K$175)</f>
        <v>2.7</v>
      </c>
      <c r="L227" s="2246">
        <v>0</v>
      </c>
      <c r="M227" s="2782">
        <f>$L227-SUMIF('11.2. Нови активи отч.год.'!$B$155:$B$175,$B227,'11.2. Нови активи отч.год.'!$L$155:$L$175)+SUMIF('11.2. Нови активи отч.год.'!$B$155:$B$175,$B227,'11.2. Нови активи отч.год.'!M$155:M$175)</f>
        <v>0</v>
      </c>
      <c r="N227" s="2783">
        <f>$L227-SUMIF('11.2. Нови активи отч.год.'!$B$155:$B$175,$B227,'11.2. Нови активи отч.год.'!$L$155:$L$175)+SUMIF('11.2. Нови активи отч.год.'!$B$155:$B$175,$B227,'11.2. Нови активи отч.год.'!N$155:N$175)</f>
        <v>0</v>
      </c>
      <c r="O227" s="2783">
        <f>$L227-SUMIF('11.2. Нови активи отч.год.'!$B$155:$B$175,$B227,'11.2. Нови активи отч.год.'!$L$155:$L$175)+SUMIF('11.2. Нови активи отч.год.'!$B$155:$B$175,$B227,'11.2. Нови активи отч.год.'!O$155:O$175)</f>
        <v>0</v>
      </c>
      <c r="P227" s="2783">
        <f>$L227-SUMIF('11.2. Нови активи отч.год.'!$B$155:$B$175,$B227,'11.2. Нови активи отч.год.'!$L$155:$L$175)+SUMIF('11.2. Нови активи отч.год.'!$B$155:$B$175,$B227,'11.2. Нови активи отч.год.'!P$155:P$175)</f>
        <v>0</v>
      </c>
      <c r="Q227" s="2783">
        <f>$L227-SUMIF('11.2. Нови активи отч.год.'!$B$155:$B$175,$B227,'11.2. Нови активи отч.год.'!$L$155:$L$175)+SUMIF('11.2. Нови активи отч.год.'!$B$155:$B$175,$B227,'11.2. Нови активи отч.год.'!Q$155:Q$175)</f>
        <v>0</v>
      </c>
      <c r="R227" s="2784">
        <f>$L227-SUMIF('11.2. Нови активи отч.год.'!$B$155:$B$175,$B227,'11.2. Нови активи отч.год.'!$L$155:$L$175)+SUMIF('11.2. Нови активи отч.год.'!$B$155:$B$175,$B227,'11.2. Нови активи отч.год.'!R$155:R$175)</f>
        <v>0</v>
      </c>
      <c r="S227" s="2246">
        <v>0</v>
      </c>
      <c r="T227" s="2782">
        <f>$S227-SUMIF('11.2. Нови активи отч.год.'!$B$155:$B$175,$B227,'11.2. Нови активи отч.год.'!$S$155:$S$175)+SUMIF('11.2. Нови активи отч.год.'!$B$155:$B$175,$B227,'11.2. Нови активи отч.год.'!T$155:T$175)</f>
        <v>0</v>
      </c>
      <c r="U227" s="2783">
        <f>$S227-SUMIF('11.2. Нови активи отч.год.'!$B$155:$B$175,$B227,'11.2. Нови активи отч.год.'!$S$155:$S$175)+SUMIF('11.2. Нови активи отч.год.'!$B$155:$B$175,$B227,'11.2. Нови активи отч.год.'!U$155:U$175)</f>
        <v>0</v>
      </c>
      <c r="V227" s="2783">
        <f>$S227-SUMIF('11.2. Нови активи отч.год.'!$B$155:$B$175,$B227,'11.2. Нови активи отч.год.'!$S$155:$S$175)+SUMIF('11.2. Нови активи отч.год.'!$B$155:$B$175,$B227,'11.2. Нови активи отч.год.'!V$155:V$175)</f>
        <v>0</v>
      </c>
      <c r="W227" s="2783">
        <f>$S227-SUMIF('11.2. Нови активи отч.год.'!$B$155:$B$175,$B227,'11.2. Нови активи отч.год.'!$S$155:$S$175)+SUMIF('11.2. Нови активи отч.год.'!$B$155:$B$175,$B227,'11.2. Нови активи отч.год.'!W$155:W$175)</f>
        <v>0</v>
      </c>
      <c r="X227" s="2783">
        <f>$S227-SUMIF('11.2. Нови активи отч.год.'!$B$155:$B$175,$B227,'11.2. Нови активи отч.год.'!$S$155:$S$175)+SUMIF('11.2. Нови активи отч.год.'!$B$155:$B$175,$B227,'11.2. Нови активи отч.год.'!X$155:X$175)</f>
        <v>0</v>
      </c>
      <c r="Y227" s="2784">
        <f>$S227-SUMIF('11.2. Нови активи отч.год.'!$B$155:$B$175,$B227,'11.2. Нови активи отч.год.'!$S$155:$S$175)+SUMIF('11.2. Нови активи отч.год.'!$B$155:$B$175,$B227,'11.2. Нови активи отч.год.'!Y$155:Y$175)</f>
        <v>0</v>
      </c>
      <c r="Z227" s="1681"/>
      <c r="AA227" s="1703"/>
      <c r="AB227" s="1727"/>
    </row>
    <row r="228" spans="1:28" s="1643" customFormat="1">
      <c r="A228" s="1730">
        <v>15</v>
      </c>
      <c r="B228" s="1675" t="s">
        <v>954</v>
      </c>
      <c r="C228" s="1676">
        <v>0.02</v>
      </c>
      <c r="D228" s="1638" t="s">
        <v>591</v>
      </c>
      <c r="E228" s="2246">
        <v>3</v>
      </c>
      <c r="F228" s="2782">
        <f>$E228-SUMIF('11.2. Нови активи отч.год.'!$B$155:$B$175,$B228,'11.2. Нови активи отч.год.'!$E$155:$E$175)+SUMIF('11.2. Нови активи отч.год.'!$B$155:$B$175,$B228,'11.2. Нови активи отч.год.'!F$155:F$175)</f>
        <v>3</v>
      </c>
      <c r="G228" s="2783">
        <f>$E228-SUMIF('11.2. Нови активи отч.год.'!$B$155:$B$175,$B228,'11.2. Нови активи отч.год.'!$E$155:$E$175)+SUMIF('11.2. Нови активи отч.год.'!$B$155:$B$175,$B228,'11.2. Нови активи отч.год.'!G$155:G$175)</f>
        <v>3</v>
      </c>
      <c r="H228" s="2783">
        <f>$E228-SUMIF('11.2. Нови активи отч.год.'!$B$155:$B$175,$B228,'11.2. Нови активи отч.год.'!$E$155:$E$175)+SUMIF('11.2. Нови активи отч.год.'!$B$155:$B$175,$B228,'11.2. Нови активи отч.год.'!H$155:H$175)</f>
        <v>3</v>
      </c>
      <c r="I228" s="2783">
        <f>$E228-SUMIF('11.2. Нови активи отч.год.'!$B$155:$B$175,$B228,'11.2. Нови активи отч.год.'!$E$155:$E$175)+SUMIF('11.2. Нови активи отч.год.'!$B$155:$B$175,$B228,'11.2. Нови активи отч.год.'!I$155:I$175)</f>
        <v>3</v>
      </c>
      <c r="J228" s="2783">
        <f>$E228-SUMIF('11.2. Нови активи отч.год.'!$B$155:$B$175,$B228,'11.2. Нови активи отч.год.'!$E$155:$E$175)+SUMIF('11.2. Нови активи отч.год.'!$B$155:$B$175,$B228,'11.2. Нови активи отч.год.'!J$155:J$175)</f>
        <v>3</v>
      </c>
      <c r="K228" s="2784">
        <f>$E228-SUMIF('11.2. Нови активи отч.год.'!$B$155:$B$175,$B228,'11.2. Нови активи отч.год.'!$E$155:$E$175)+SUMIF('11.2. Нови активи отч.год.'!$B$155:$B$175,$B228,'11.2. Нови активи отч.год.'!K$155:K$175)</f>
        <v>3</v>
      </c>
      <c r="L228" s="2246">
        <v>0</v>
      </c>
      <c r="M228" s="2782">
        <f>$L228-SUMIF('11.2. Нови активи отч.год.'!$B$155:$B$175,$B228,'11.2. Нови активи отч.год.'!$L$155:$L$175)+SUMIF('11.2. Нови активи отч.год.'!$B$155:$B$175,$B228,'11.2. Нови активи отч.год.'!M$155:M$175)</f>
        <v>0</v>
      </c>
      <c r="N228" s="2783">
        <f>$L228-SUMIF('11.2. Нови активи отч.год.'!$B$155:$B$175,$B228,'11.2. Нови активи отч.год.'!$L$155:$L$175)+SUMIF('11.2. Нови активи отч.год.'!$B$155:$B$175,$B228,'11.2. Нови активи отч.год.'!N$155:N$175)</f>
        <v>0</v>
      </c>
      <c r="O228" s="2783">
        <f>$L228-SUMIF('11.2. Нови активи отч.год.'!$B$155:$B$175,$B228,'11.2. Нови активи отч.год.'!$L$155:$L$175)+SUMIF('11.2. Нови активи отч.год.'!$B$155:$B$175,$B228,'11.2. Нови активи отч.год.'!O$155:O$175)</f>
        <v>0</v>
      </c>
      <c r="P228" s="2783">
        <f>$L228-SUMIF('11.2. Нови активи отч.год.'!$B$155:$B$175,$B228,'11.2. Нови активи отч.год.'!$L$155:$L$175)+SUMIF('11.2. Нови активи отч.год.'!$B$155:$B$175,$B228,'11.2. Нови активи отч.год.'!P$155:P$175)</f>
        <v>0</v>
      </c>
      <c r="Q228" s="2783">
        <f>$L228-SUMIF('11.2. Нови активи отч.год.'!$B$155:$B$175,$B228,'11.2. Нови активи отч.год.'!$L$155:$L$175)+SUMIF('11.2. Нови активи отч.год.'!$B$155:$B$175,$B228,'11.2. Нови активи отч.год.'!Q$155:Q$175)</f>
        <v>0</v>
      </c>
      <c r="R228" s="2784">
        <f>$L228-SUMIF('11.2. Нови активи отч.год.'!$B$155:$B$175,$B228,'11.2. Нови активи отч.год.'!$L$155:$L$175)+SUMIF('11.2. Нови активи отч.год.'!$B$155:$B$175,$B228,'11.2. Нови активи отч.год.'!R$155:R$175)</f>
        <v>0</v>
      </c>
      <c r="S228" s="2246">
        <v>0</v>
      </c>
      <c r="T228" s="2782">
        <f>$S228-SUMIF('11.2. Нови активи отч.год.'!$B$155:$B$175,$B228,'11.2. Нови активи отч.год.'!$S$155:$S$175)+SUMIF('11.2. Нови активи отч.год.'!$B$155:$B$175,$B228,'11.2. Нови активи отч.год.'!T$155:T$175)</f>
        <v>0</v>
      </c>
      <c r="U228" s="2783">
        <f>$S228-SUMIF('11.2. Нови активи отч.год.'!$B$155:$B$175,$B228,'11.2. Нови активи отч.год.'!$S$155:$S$175)+SUMIF('11.2. Нови активи отч.год.'!$B$155:$B$175,$B228,'11.2. Нови активи отч.год.'!U$155:U$175)</f>
        <v>0</v>
      </c>
      <c r="V228" s="2783">
        <f>$S228-SUMIF('11.2. Нови активи отч.год.'!$B$155:$B$175,$B228,'11.2. Нови активи отч.год.'!$S$155:$S$175)+SUMIF('11.2. Нови активи отч.год.'!$B$155:$B$175,$B228,'11.2. Нови активи отч.год.'!V$155:V$175)</f>
        <v>0</v>
      </c>
      <c r="W228" s="2783">
        <f>$S228-SUMIF('11.2. Нови активи отч.год.'!$B$155:$B$175,$B228,'11.2. Нови активи отч.год.'!$S$155:$S$175)+SUMIF('11.2. Нови активи отч.год.'!$B$155:$B$175,$B228,'11.2. Нови активи отч.год.'!W$155:W$175)</f>
        <v>0</v>
      </c>
      <c r="X228" s="2783">
        <f>$S228-SUMIF('11.2. Нови активи отч.год.'!$B$155:$B$175,$B228,'11.2. Нови активи отч.год.'!$S$155:$S$175)+SUMIF('11.2. Нови активи отч.год.'!$B$155:$B$175,$B228,'11.2. Нови активи отч.год.'!X$155:X$175)</f>
        <v>0</v>
      </c>
      <c r="Y228" s="2784">
        <f>$S228-SUMIF('11.2. Нови активи отч.год.'!$B$155:$B$175,$B228,'11.2. Нови активи отч.год.'!$S$155:$S$175)+SUMIF('11.2. Нови активи отч.год.'!$B$155:$B$175,$B228,'11.2. Нови активи отч.год.'!Y$155:Y$175)</f>
        <v>0</v>
      </c>
      <c r="Z228" s="1681"/>
      <c r="AA228" s="1703"/>
      <c r="AB228" s="1727"/>
    </row>
    <row r="229" spans="1:28" s="1643" customFormat="1">
      <c r="A229" s="1730">
        <v>16</v>
      </c>
      <c r="B229" s="1675" t="s">
        <v>955</v>
      </c>
      <c r="C229" s="1676">
        <v>0.02</v>
      </c>
      <c r="D229" s="1624" t="s">
        <v>592</v>
      </c>
      <c r="E229" s="2246">
        <v>500</v>
      </c>
      <c r="F229" s="2782">
        <f>$E229-SUMIF('11.2. Нови активи отч.год.'!$B$155:$B$175,$B229,'11.2. Нови активи отч.год.'!$E$155:$E$175)+SUMIF('11.2. Нови активи отч.год.'!$B$155:$B$175,$B229,'11.2. Нови активи отч.год.'!F$155:F$175)</f>
        <v>500</v>
      </c>
      <c r="G229" s="2783">
        <f>$E229-SUMIF('11.2. Нови активи отч.год.'!$B$155:$B$175,$B229,'11.2. Нови активи отч.год.'!$E$155:$E$175)+SUMIF('11.2. Нови активи отч.год.'!$B$155:$B$175,$B229,'11.2. Нови активи отч.год.'!G$155:G$175)</f>
        <v>500</v>
      </c>
      <c r="H229" s="2783">
        <f>$E229-SUMIF('11.2. Нови активи отч.год.'!$B$155:$B$175,$B229,'11.2. Нови активи отч.год.'!$E$155:$E$175)+SUMIF('11.2. Нови активи отч.год.'!$B$155:$B$175,$B229,'11.2. Нови активи отч.год.'!H$155:H$175)</f>
        <v>500</v>
      </c>
      <c r="I229" s="2783">
        <f>$E229-SUMIF('11.2. Нови активи отч.год.'!$B$155:$B$175,$B229,'11.2. Нови активи отч.год.'!$E$155:$E$175)+SUMIF('11.2. Нови активи отч.год.'!$B$155:$B$175,$B229,'11.2. Нови активи отч.год.'!I$155:I$175)</f>
        <v>500</v>
      </c>
      <c r="J229" s="2783">
        <f>$E229-SUMIF('11.2. Нови активи отч.год.'!$B$155:$B$175,$B229,'11.2. Нови активи отч.год.'!$E$155:$E$175)+SUMIF('11.2. Нови активи отч.год.'!$B$155:$B$175,$B229,'11.2. Нови активи отч.год.'!J$155:J$175)</f>
        <v>500</v>
      </c>
      <c r="K229" s="2784">
        <f>$E229-SUMIF('11.2. Нови активи отч.год.'!$B$155:$B$175,$B229,'11.2. Нови активи отч.год.'!$E$155:$E$175)+SUMIF('11.2. Нови активи отч.год.'!$B$155:$B$175,$B229,'11.2. Нови активи отч.год.'!K$155:K$175)</f>
        <v>500</v>
      </c>
      <c r="L229" s="2246">
        <v>0</v>
      </c>
      <c r="M229" s="2782">
        <f>$L229-SUMIF('11.2. Нови активи отч.год.'!$B$155:$B$175,$B229,'11.2. Нови активи отч.год.'!$L$155:$L$175)+SUMIF('11.2. Нови активи отч.год.'!$B$155:$B$175,$B229,'11.2. Нови активи отч.год.'!M$155:M$175)</f>
        <v>0</v>
      </c>
      <c r="N229" s="2783">
        <f>$L229-SUMIF('11.2. Нови активи отч.год.'!$B$155:$B$175,$B229,'11.2. Нови активи отч.год.'!$L$155:$L$175)+SUMIF('11.2. Нови активи отч.год.'!$B$155:$B$175,$B229,'11.2. Нови активи отч.год.'!N$155:N$175)</f>
        <v>0</v>
      </c>
      <c r="O229" s="2783">
        <f>$L229-SUMIF('11.2. Нови активи отч.год.'!$B$155:$B$175,$B229,'11.2. Нови активи отч.год.'!$L$155:$L$175)+SUMIF('11.2. Нови активи отч.год.'!$B$155:$B$175,$B229,'11.2. Нови активи отч.год.'!O$155:O$175)</f>
        <v>0</v>
      </c>
      <c r="P229" s="2783">
        <f>$L229-SUMIF('11.2. Нови активи отч.год.'!$B$155:$B$175,$B229,'11.2. Нови активи отч.год.'!$L$155:$L$175)+SUMIF('11.2. Нови активи отч.год.'!$B$155:$B$175,$B229,'11.2. Нови активи отч.год.'!P$155:P$175)</f>
        <v>0</v>
      </c>
      <c r="Q229" s="2783">
        <f>$L229-SUMIF('11.2. Нови активи отч.год.'!$B$155:$B$175,$B229,'11.2. Нови активи отч.год.'!$L$155:$L$175)+SUMIF('11.2. Нови активи отч.год.'!$B$155:$B$175,$B229,'11.2. Нови активи отч.год.'!Q$155:Q$175)</f>
        <v>0</v>
      </c>
      <c r="R229" s="2784">
        <f>$L229-SUMIF('11.2. Нови активи отч.год.'!$B$155:$B$175,$B229,'11.2. Нови активи отч.год.'!$L$155:$L$175)+SUMIF('11.2. Нови активи отч.год.'!$B$155:$B$175,$B229,'11.2. Нови активи отч.год.'!R$155:R$175)</f>
        <v>0</v>
      </c>
      <c r="S229" s="2246">
        <v>0</v>
      </c>
      <c r="T229" s="2782">
        <f>$S229-SUMIF('11.2. Нови активи отч.год.'!$B$155:$B$175,$B229,'11.2. Нови активи отч.год.'!$S$155:$S$175)+SUMIF('11.2. Нови активи отч.год.'!$B$155:$B$175,$B229,'11.2. Нови активи отч.год.'!T$155:T$175)</f>
        <v>0</v>
      </c>
      <c r="U229" s="2783">
        <f>$S229-SUMIF('11.2. Нови активи отч.год.'!$B$155:$B$175,$B229,'11.2. Нови активи отч.год.'!$S$155:$S$175)+SUMIF('11.2. Нови активи отч.год.'!$B$155:$B$175,$B229,'11.2. Нови активи отч.год.'!U$155:U$175)</f>
        <v>0</v>
      </c>
      <c r="V229" s="2783">
        <f>$S229-SUMIF('11.2. Нови активи отч.год.'!$B$155:$B$175,$B229,'11.2. Нови активи отч.год.'!$S$155:$S$175)+SUMIF('11.2. Нови активи отч.год.'!$B$155:$B$175,$B229,'11.2. Нови активи отч.год.'!V$155:V$175)</f>
        <v>0</v>
      </c>
      <c r="W229" s="2783">
        <f>$S229-SUMIF('11.2. Нови активи отч.год.'!$B$155:$B$175,$B229,'11.2. Нови активи отч.год.'!$S$155:$S$175)+SUMIF('11.2. Нови активи отч.год.'!$B$155:$B$175,$B229,'11.2. Нови активи отч.год.'!W$155:W$175)</f>
        <v>0</v>
      </c>
      <c r="X229" s="2783">
        <f>$S229-SUMIF('11.2. Нови активи отч.год.'!$B$155:$B$175,$B229,'11.2. Нови активи отч.год.'!$S$155:$S$175)+SUMIF('11.2. Нови активи отч.год.'!$B$155:$B$175,$B229,'11.2. Нови активи отч.год.'!X$155:X$175)</f>
        <v>0</v>
      </c>
      <c r="Y229" s="2784">
        <f>$S229-SUMIF('11.2. Нови активи отч.год.'!$B$155:$B$175,$B229,'11.2. Нови активи отч.год.'!$S$155:$S$175)+SUMIF('11.2. Нови активи отч.год.'!$B$155:$B$175,$B229,'11.2. Нови активи отч.год.'!Y$155:Y$175)</f>
        <v>0</v>
      </c>
      <c r="Z229" s="1681"/>
      <c r="AA229" s="1703"/>
      <c r="AB229" s="1727"/>
    </row>
    <row r="230" spans="1:28" s="1643" customFormat="1">
      <c r="A230" s="1730">
        <v>17</v>
      </c>
      <c r="B230" s="1675" t="s">
        <v>956</v>
      </c>
      <c r="C230" s="1676">
        <v>0.02</v>
      </c>
      <c r="D230" s="1626" t="s">
        <v>593</v>
      </c>
      <c r="E230" s="2246">
        <v>0</v>
      </c>
      <c r="F230" s="2782">
        <f>$E230-SUMIF('11.2. Нови активи отч.год.'!$B$155:$B$175,$B230,'11.2. Нови активи отч.год.'!$E$155:$E$175)+SUMIF('11.2. Нови активи отч.год.'!$B$155:$B$175,$B230,'11.2. Нови активи отч.год.'!F$155:F$175)</f>
        <v>0</v>
      </c>
      <c r="G230" s="2783">
        <f>$E230-SUMIF('11.2. Нови активи отч.год.'!$B$155:$B$175,$B230,'11.2. Нови активи отч.год.'!$E$155:$E$175)+SUMIF('11.2. Нови активи отч.год.'!$B$155:$B$175,$B230,'11.2. Нови активи отч.год.'!G$155:G$175)</f>
        <v>0</v>
      </c>
      <c r="H230" s="2783">
        <f>$E230-SUMIF('11.2. Нови активи отч.год.'!$B$155:$B$175,$B230,'11.2. Нови активи отч.год.'!$E$155:$E$175)+SUMIF('11.2. Нови активи отч.год.'!$B$155:$B$175,$B230,'11.2. Нови активи отч.год.'!H$155:H$175)</f>
        <v>0</v>
      </c>
      <c r="I230" s="2783">
        <f>$E230-SUMIF('11.2. Нови активи отч.год.'!$B$155:$B$175,$B230,'11.2. Нови активи отч.год.'!$E$155:$E$175)+SUMIF('11.2. Нови активи отч.год.'!$B$155:$B$175,$B230,'11.2. Нови активи отч.год.'!I$155:I$175)</f>
        <v>0</v>
      </c>
      <c r="J230" s="2783">
        <f>$E230-SUMIF('11.2. Нови активи отч.год.'!$B$155:$B$175,$B230,'11.2. Нови активи отч.год.'!$E$155:$E$175)+SUMIF('11.2. Нови активи отч.год.'!$B$155:$B$175,$B230,'11.2. Нови активи отч.год.'!J$155:J$175)</f>
        <v>0</v>
      </c>
      <c r="K230" s="2784">
        <f>$E230-SUMIF('11.2. Нови активи отч.год.'!$B$155:$B$175,$B230,'11.2. Нови активи отч.год.'!$E$155:$E$175)+SUMIF('11.2. Нови активи отч.год.'!$B$155:$B$175,$B230,'11.2. Нови активи отч.год.'!K$155:K$175)</f>
        <v>0</v>
      </c>
      <c r="L230" s="2246">
        <v>323</v>
      </c>
      <c r="M230" s="2782">
        <f>$L230-SUMIF('11.2. Нови активи отч.год.'!$B$155:$B$175,$B230,'11.2. Нови активи отч.год.'!$L$155:$L$175)+SUMIF('11.2. Нови активи отч.год.'!$B$155:$B$175,$B230,'11.2. Нови активи отч.год.'!M$155:M$175)</f>
        <v>323</v>
      </c>
      <c r="N230" s="2783">
        <f>$L230-SUMIF('11.2. Нови активи отч.год.'!$B$155:$B$175,$B230,'11.2. Нови активи отч.год.'!$L$155:$L$175)+SUMIF('11.2. Нови активи отч.год.'!$B$155:$B$175,$B230,'11.2. Нови активи отч.год.'!N$155:N$175)</f>
        <v>323</v>
      </c>
      <c r="O230" s="2783">
        <f>$L230-SUMIF('11.2. Нови активи отч.год.'!$B$155:$B$175,$B230,'11.2. Нови активи отч.год.'!$L$155:$L$175)+SUMIF('11.2. Нови активи отч.год.'!$B$155:$B$175,$B230,'11.2. Нови активи отч.год.'!O$155:O$175)</f>
        <v>323</v>
      </c>
      <c r="P230" s="2783">
        <f>$L230-SUMIF('11.2. Нови активи отч.год.'!$B$155:$B$175,$B230,'11.2. Нови активи отч.год.'!$L$155:$L$175)+SUMIF('11.2. Нови активи отч.год.'!$B$155:$B$175,$B230,'11.2. Нови активи отч.год.'!P$155:P$175)</f>
        <v>323</v>
      </c>
      <c r="Q230" s="2783">
        <f>$L230-SUMIF('11.2. Нови активи отч.год.'!$B$155:$B$175,$B230,'11.2. Нови активи отч.год.'!$L$155:$L$175)+SUMIF('11.2. Нови активи отч.год.'!$B$155:$B$175,$B230,'11.2. Нови активи отч.год.'!Q$155:Q$175)</f>
        <v>323</v>
      </c>
      <c r="R230" s="2784">
        <f>$L230-SUMIF('11.2. Нови активи отч.год.'!$B$155:$B$175,$B230,'11.2. Нови активи отч.год.'!$L$155:$L$175)+SUMIF('11.2. Нови активи отч.год.'!$B$155:$B$175,$B230,'11.2. Нови активи отч.год.'!R$155:R$175)</f>
        <v>323</v>
      </c>
      <c r="S230" s="2246">
        <v>0</v>
      </c>
      <c r="T230" s="2782">
        <f>$S230-SUMIF('11.2. Нови активи отч.год.'!$B$155:$B$175,$B230,'11.2. Нови активи отч.год.'!$S$155:$S$175)+SUMIF('11.2. Нови активи отч.год.'!$B$155:$B$175,$B230,'11.2. Нови активи отч.год.'!T$155:T$175)</f>
        <v>0</v>
      </c>
      <c r="U230" s="2783">
        <f>$S230-SUMIF('11.2. Нови активи отч.год.'!$B$155:$B$175,$B230,'11.2. Нови активи отч.год.'!$S$155:$S$175)+SUMIF('11.2. Нови активи отч.год.'!$B$155:$B$175,$B230,'11.2. Нови активи отч.год.'!U$155:U$175)</f>
        <v>0</v>
      </c>
      <c r="V230" s="2783">
        <f>$S230-SUMIF('11.2. Нови активи отч.год.'!$B$155:$B$175,$B230,'11.2. Нови активи отч.год.'!$S$155:$S$175)+SUMIF('11.2. Нови активи отч.год.'!$B$155:$B$175,$B230,'11.2. Нови активи отч.год.'!V$155:V$175)</f>
        <v>0</v>
      </c>
      <c r="W230" s="2783">
        <f>$S230-SUMIF('11.2. Нови активи отч.год.'!$B$155:$B$175,$B230,'11.2. Нови активи отч.год.'!$S$155:$S$175)+SUMIF('11.2. Нови активи отч.год.'!$B$155:$B$175,$B230,'11.2. Нови активи отч.год.'!W$155:W$175)</f>
        <v>0</v>
      </c>
      <c r="X230" s="2783">
        <f>$S230-SUMIF('11.2. Нови активи отч.год.'!$B$155:$B$175,$B230,'11.2. Нови активи отч.год.'!$S$155:$S$175)+SUMIF('11.2. Нови активи отч.год.'!$B$155:$B$175,$B230,'11.2. Нови активи отч.год.'!X$155:X$175)</f>
        <v>0</v>
      </c>
      <c r="Y230" s="2784">
        <f>$S230-SUMIF('11.2. Нови активи отч.год.'!$B$155:$B$175,$B230,'11.2. Нови активи отч.год.'!$S$155:$S$175)+SUMIF('11.2. Нови активи отч.год.'!$B$155:$B$175,$B230,'11.2. Нови активи отч.год.'!Y$155:Y$175)</f>
        <v>0</v>
      </c>
      <c r="Z230" s="1681"/>
      <c r="AA230" s="1703"/>
      <c r="AB230" s="1727"/>
    </row>
    <row r="231" spans="1:28" s="1643" customFormat="1" ht="24">
      <c r="A231" s="1730">
        <v>18</v>
      </c>
      <c r="B231" s="1675" t="s">
        <v>957</v>
      </c>
      <c r="C231" s="1676">
        <v>0.04</v>
      </c>
      <c r="D231" s="1626" t="s">
        <v>594</v>
      </c>
      <c r="E231" s="2246">
        <v>0</v>
      </c>
      <c r="F231" s="2782">
        <f>$E231-SUMIF('11.2. Нови активи отч.год.'!$B$155:$B$175,$B231,'11.2. Нови активи отч.год.'!$E$155:$E$175)+SUMIF('11.2. Нови активи отч.год.'!$B$155:$B$175,$B231,'11.2. Нови активи отч.год.'!F$155:F$175)</f>
        <v>0</v>
      </c>
      <c r="G231" s="2783">
        <f>$E231-SUMIF('11.2. Нови активи отч.год.'!$B$155:$B$175,$B231,'11.2. Нови активи отч.год.'!$E$155:$E$175)+SUMIF('11.2. Нови активи отч.год.'!$B$155:$B$175,$B231,'11.2. Нови активи отч.год.'!G$155:G$175)</f>
        <v>0</v>
      </c>
      <c r="H231" s="2783">
        <f>$E231-SUMIF('11.2. Нови активи отч.год.'!$B$155:$B$175,$B231,'11.2. Нови активи отч.год.'!$E$155:$E$175)+SUMIF('11.2. Нови активи отч.год.'!$B$155:$B$175,$B231,'11.2. Нови активи отч.год.'!H$155:H$175)</f>
        <v>0</v>
      </c>
      <c r="I231" s="2783">
        <f>$E231-SUMIF('11.2. Нови активи отч.год.'!$B$155:$B$175,$B231,'11.2. Нови активи отч.год.'!$E$155:$E$175)+SUMIF('11.2. Нови активи отч.год.'!$B$155:$B$175,$B231,'11.2. Нови активи отч.год.'!I$155:I$175)</f>
        <v>0</v>
      </c>
      <c r="J231" s="2783">
        <f>$E231-SUMIF('11.2. Нови активи отч.год.'!$B$155:$B$175,$B231,'11.2. Нови активи отч.год.'!$E$155:$E$175)+SUMIF('11.2. Нови активи отч.год.'!$B$155:$B$175,$B231,'11.2. Нови активи отч.год.'!J$155:J$175)</f>
        <v>0</v>
      </c>
      <c r="K231" s="2784">
        <f>$E231-SUMIF('11.2. Нови активи отч.год.'!$B$155:$B$175,$B231,'11.2. Нови активи отч.год.'!$E$155:$E$175)+SUMIF('11.2. Нови активи отч.год.'!$B$155:$B$175,$B231,'11.2. Нови активи отч.год.'!K$155:K$175)</f>
        <v>0</v>
      </c>
      <c r="L231" s="2246">
        <v>0</v>
      </c>
      <c r="M231" s="2782">
        <f>$L231-SUMIF('11.2. Нови активи отч.год.'!$B$155:$B$175,$B231,'11.2. Нови активи отч.год.'!$L$155:$L$175)+SUMIF('11.2. Нови активи отч.год.'!$B$155:$B$175,$B231,'11.2. Нови активи отч.год.'!M$155:M$175)</f>
        <v>0</v>
      </c>
      <c r="N231" s="2783">
        <f>$L231-SUMIF('11.2. Нови активи отч.год.'!$B$155:$B$175,$B231,'11.2. Нови активи отч.год.'!$L$155:$L$175)+SUMIF('11.2. Нови активи отч.год.'!$B$155:$B$175,$B231,'11.2. Нови активи отч.год.'!N$155:N$175)</f>
        <v>0</v>
      </c>
      <c r="O231" s="2783">
        <f>$L231-SUMIF('11.2. Нови активи отч.год.'!$B$155:$B$175,$B231,'11.2. Нови активи отч.год.'!$L$155:$L$175)+SUMIF('11.2. Нови активи отч.год.'!$B$155:$B$175,$B231,'11.2. Нови активи отч.год.'!O$155:O$175)</f>
        <v>0</v>
      </c>
      <c r="P231" s="2783">
        <f>$L231-SUMIF('11.2. Нови активи отч.год.'!$B$155:$B$175,$B231,'11.2. Нови активи отч.год.'!$L$155:$L$175)+SUMIF('11.2. Нови активи отч.год.'!$B$155:$B$175,$B231,'11.2. Нови активи отч.год.'!P$155:P$175)</f>
        <v>0</v>
      </c>
      <c r="Q231" s="2783">
        <f>$L231-SUMIF('11.2. Нови активи отч.год.'!$B$155:$B$175,$B231,'11.2. Нови активи отч.год.'!$L$155:$L$175)+SUMIF('11.2. Нови активи отч.год.'!$B$155:$B$175,$B231,'11.2. Нови активи отч.год.'!Q$155:Q$175)</f>
        <v>0</v>
      </c>
      <c r="R231" s="2784">
        <f>$L231-SUMIF('11.2. Нови активи отч.год.'!$B$155:$B$175,$B231,'11.2. Нови активи отч.год.'!$L$155:$L$175)+SUMIF('11.2. Нови активи отч.год.'!$B$155:$B$175,$B231,'11.2. Нови активи отч.год.'!R$155:R$175)</f>
        <v>0</v>
      </c>
      <c r="S231" s="2246">
        <v>750</v>
      </c>
      <c r="T231" s="2782">
        <f>$S231-SUMIF('11.2. Нови активи отч.год.'!$B$155:$B$175,$B231,'11.2. Нови активи отч.год.'!$S$155:$S$175)+SUMIF('11.2. Нови активи отч.год.'!$B$155:$B$175,$B231,'11.2. Нови активи отч.год.'!T$155:T$175)</f>
        <v>750</v>
      </c>
      <c r="U231" s="2783">
        <f>$S231-SUMIF('11.2. Нови активи отч.год.'!$B$155:$B$175,$B231,'11.2. Нови активи отч.год.'!$S$155:$S$175)+SUMIF('11.2. Нови активи отч.год.'!$B$155:$B$175,$B231,'11.2. Нови активи отч.год.'!U$155:U$175)</f>
        <v>750</v>
      </c>
      <c r="V231" s="2783">
        <f>$S231-SUMIF('11.2. Нови активи отч.год.'!$B$155:$B$175,$B231,'11.2. Нови активи отч.год.'!$S$155:$S$175)+SUMIF('11.2. Нови активи отч.год.'!$B$155:$B$175,$B231,'11.2. Нови активи отч.год.'!V$155:V$175)</f>
        <v>750</v>
      </c>
      <c r="W231" s="2783">
        <f>$S231-SUMIF('11.2. Нови активи отч.год.'!$B$155:$B$175,$B231,'11.2. Нови активи отч.год.'!$S$155:$S$175)+SUMIF('11.2. Нови активи отч.год.'!$B$155:$B$175,$B231,'11.2. Нови активи отч.год.'!W$155:W$175)</f>
        <v>750</v>
      </c>
      <c r="X231" s="2783">
        <f>$S231-SUMIF('11.2. Нови активи отч.год.'!$B$155:$B$175,$B231,'11.2. Нови активи отч.год.'!$S$155:$S$175)+SUMIF('11.2. Нови активи отч.год.'!$B$155:$B$175,$B231,'11.2. Нови активи отч.год.'!X$155:X$175)</f>
        <v>750</v>
      </c>
      <c r="Y231" s="2784">
        <f>$S231-SUMIF('11.2. Нови активи отч.год.'!$B$155:$B$175,$B231,'11.2. Нови активи отч.год.'!$S$155:$S$175)+SUMIF('11.2. Нови активи отч.год.'!$B$155:$B$175,$B231,'11.2. Нови активи отч.год.'!Y$155:Y$175)</f>
        <v>750</v>
      </c>
      <c r="Z231" s="1681"/>
      <c r="AA231" s="1703"/>
      <c r="AB231" s="1727"/>
    </row>
    <row r="232" spans="1:28" s="1643" customFormat="1">
      <c r="A232" s="1730">
        <v>19</v>
      </c>
      <c r="B232" s="1675" t="s">
        <v>958</v>
      </c>
      <c r="C232" s="1676">
        <v>0.04</v>
      </c>
      <c r="D232" s="1626" t="s">
        <v>595</v>
      </c>
      <c r="E232" s="2246">
        <v>8</v>
      </c>
      <c r="F232" s="2782">
        <f>$E232-SUMIF('11.2. Нови активи отч.год.'!$B$155:$B$175,$B232,'11.2. Нови активи отч.год.'!$E$155:$E$175)+SUMIF('11.2. Нови активи отч.год.'!$B$155:$B$175,$B232,'11.2. Нови активи отч.год.'!F$155:F$175)</f>
        <v>8</v>
      </c>
      <c r="G232" s="2783">
        <f>$E232-SUMIF('11.2. Нови активи отч.год.'!$B$155:$B$175,$B232,'11.2. Нови активи отч.год.'!$E$155:$E$175)+SUMIF('11.2. Нови активи отч.год.'!$B$155:$B$175,$B232,'11.2. Нови активи отч.год.'!G$155:G$175)</f>
        <v>8</v>
      </c>
      <c r="H232" s="2783">
        <f>$E232-SUMIF('11.2. Нови активи отч.год.'!$B$155:$B$175,$B232,'11.2. Нови активи отч.год.'!$E$155:$E$175)+SUMIF('11.2. Нови активи отч.год.'!$B$155:$B$175,$B232,'11.2. Нови активи отч.год.'!H$155:H$175)</f>
        <v>8</v>
      </c>
      <c r="I232" s="2783">
        <f>$E232-SUMIF('11.2. Нови активи отч.год.'!$B$155:$B$175,$B232,'11.2. Нови активи отч.год.'!$E$155:$E$175)+SUMIF('11.2. Нови активи отч.год.'!$B$155:$B$175,$B232,'11.2. Нови активи отч.год.'!I$155:I$175)</f>
        <v>8</v>
      </c>
      <c r="J232" s="2783">
        <f>$E232-SUMIF('11.2. Нови активи отч.год.'!$B$155:$B$175,$B232,'11.2. Нови активи отч.год.'!$E$155:$E$175)+SUMIF('11.2. Нови активи отч.год.'!$B$155:$B$175,$B232,'11.2. Нови активи отч.год.'!J$155:J$175)</f>
        <v>8</v>
      </c>
      <c r="K232" s="2784">
        <f>$E232-SUMIF('11.2. Нови активи отч.год.'!$B$155:$B$175,$B232,'11.2. Нови активи отч.год.'!$E$155:$E$175)+SUMIF('11.2. Нови активи отч.год.'!$B$155:$B$175,$B232,'11.2. Нови активи отч.год.'!K$155:K$175)</f>
        <v>8</v>
      </c>
      <c r="L232" s="2246">
        <v>0</v>
      </c>
      <c r="M232" s="2782">
        <f>$L232-SUMIF('11.2. Нови активи отч.год.'!$B$155:$B$175,$B232,'11.2. Нови активи отч.год.'!$L$155:$L$175)+SUMIF('11.2. Нови активи отч.год.'!$B$155:$B$175,$B232,'11.2. Нови активи отч.год.'!M$155:M$175)</f>
        <v>0</v>
      </c>
      <c r="N232" s="2783">
        <f>$L232-SUMIF('11.2. Нови активи отч.год.'!$B$155:$B$175,$B232,'11.2. Нови активи отч.год.'!$L$155:$L$175)+SUMIF('11.2. Нови активи отч.год.'!$B$155:$B$175,$B232,'11.2. Нови активи отч.год.'!N$155:N$175)</f>
        <v>0</v>
      </c>
      <c r="O232" s="2783">
        <f>$L232-SUMIF('11.2. Нови активи отч.год.'!$B$155:$B$175,$B232,'11.2. Нови активи отч.год.'!$L$155:$L$175)+SUMIF('11.2. Нови активи отч.год.'!$B$155:$B$175,$B232,'11.2. Нови активи отч.год.'!O$155:O$175)</f>
        <v>0</v>
      </c>
      <c r="P232" s="2783">
        <f>$L232-SUMIF('11.2. Нови активи отч.год.'!$B$155:$B$175,$B232,'11.2. Нови активи отч.год.'!$L$155:$L$175)+SUMIF('11.2. Нови активи отч.год.'!$B$155:$B$175,$B232,'11.2. Нови активи отч.год.'!P$155:P$175)</f>
        <v>0</v>
      </c>
      <c r="Q232" s="2783">
        <f>$L232-SUMIF('11.2. Нови активи отч.год.'!$B$155:$B$175,$B232,'11.2. Нови активи отч.год.'!$L$155:$L$175)+SUMIF('11.2. Нови активи отч.год.'!$B$155:$B$175,$B232,'11.2. Нови активи отч.год.'!Q$155:Q$175)</f>
        <v>0</v>
      </c>
      <c r="R232" s="2784">
        <f>$L232-SUMIF('11.2. Нови активи отч.год.'!$B$155:$B$175,$B232,'11.2. Нови активи отч.год.'!$L$155:$L$175)+SUMIF('11.2. Нови активи отч.год.'!$B$155:$B$175,$B232,'11.2. Нови активи отч.год.'!R$155:R$175)</f>
        <v>0</v>
      </c>
      <c r="S232" s="2246">
        <v>0</v>
      </c>
      <c r="T232" s="2782">
        <f>$S232-SUMIF('11.2. Нови активи отч.год.'!$B$155:$B$175,$B232,'11.2. Нови активи отч.год.'!$S$155:$S$175)+SUMIF('11.2. Нови активи отч.год.'!$B$155:$B$175,$B232,'11.2. Нови активи отч.год.'!T$155:T$175)</f>
        <v>0</v>
      </c>
      <c r="U232" s="2783">
        <f>$S232-SUMIF('11.2. Нови активи отч.год.'!$B$155:$B$175,$B232,'11.2. Нови активи отч.год.'!$S$155:$S$175)+SUMIF('11.2. Нови активи отч.год.'!$B$155:$B$175,$B232,'11.2. Нови активи отч.год.'!U$155:U$175)</f>
        <v>0</v>
      </c>
      <c r="V232" s="2783">
        <f>$S232-SUMIF('11.2. Нови активи отч.год.'!$B$155:$B$175,$B232,'11.2. Нови активи отч.год.'!$S$155:$S$175)+SUMIF('11.2. Нови активи отч.год.'!$B$155:$B$175,$B232,'11.2. Нови активи отч.год.'!V$155:V$175)</f>
        <v>0</v>
      </c>
      <c r="W232" s="2783">
        <f>$S232-SUMIF('11.2. Нови активи отч.год.'!$B$155:$B$175,$B232,'11.2. Нови активи отч.год.'!$S$155:$S$175)+SUMIF('11.2. Нови активи отч.год.'!$B$155:$B$175,$B232,'11.2. Нови активи отч.год.'!W$155:W$175)</f>
        <v>0</v>
      </c>
      <c r="X232" s="2783">
        <f>$S232-SUMIF('11.2. Нови активи отч.год.'!$B$155:$B$175,$B232,'11.2. Нови активи отч.год.'!$S$155:$S$175)+SUMIF('11.2. Нови активи отч.год.'!$B$155:$B$175,$B232,'11.2. Нови активи отч.год.'!X$155:X$175)</f>
        <v>0</v>
      </c>
      <c r="Y232" s="2784">
        <f>$S232-SUMIF('11.2. Нови активи отч.год.'!$B$155:$B$175,$B232,'11.2. Нови активи отч.год.'!$S$155:$S$175)+SUMIF('11.2. Нови активи отч.год.'!$B$155:$B$175,$B232,'11.2. Нови активи отч.год.'!Y$155:Y$175)</f>
        <v>0</v>
      </c>
      <c r="Z232" s="1681"/>
      <c r="AA232" s="1703"/>
      <c r="AB232" s="1727"/>
    </row>
    <row r="233" spans="1:28" s="1643" customFormat="1">
      <c r="A233" s="1730">
        <v>20</v>
      </c>
      <c r="B233" s="1675" t="s">
        <v>970</v>
      </c>
      <c r="C233" s="1676">
        <v>0.04</v>
      </c>
      <c r="D233" s="1728" t="s">
        <v>606</v>
      </c>
      <c r="E233" s="2246">
        <v>3</v>
      </c>
      <c r="F233" s="2782">
        <f>$E233-SUMIF('11.2. Нови активи отч.год.'!$B$155:$B$175,$B233,'11.2. Нови активи отч.год.'!$E$155:$E$175)+SUMIF('11.2. Нови активи отч.год.'!$B$155:$B$175,$B233,'11.2. Нови активи отч.год.'!F$155:F$175)</f>
        <v>3</v>
      </c>
      <c r="G233" s="2783">
        <f>$E233-SUMIF('11.2. Нови активи отч.год.'!$B$155:$B$175,$B233,'11.2. Нови активи отч.год.'!$E$155:$E$175)+SUMIF('11.2. Нови активи отч.год.'!$B$155:$B$175,$B233,'11.2. Нови активи отч.год.'!G$155:G$175)</f>
        <v>3</v>
      </c>
      <c r="H233" s="2783">
        <f>$E233-SUMIF('11.2. Нови активи отч.год.'!$B$155:$B$175,$B233,'11.2. Нови активи отч.год.'!$E$155:$E$175)+SUMIF('11.2. Нови активи отч.год.'!$B$155:$B$175,$B233,'11.2. Нови активи отч.год.'!H$155:H$175)</f>
        <v>3</v>
      </c>
      <c r="I233" s="2783">
        <f>$E233-SUMIF('11.2. Нови активи отч.год.'!$B$155:$B$175,$B233,'11.2. Нови активи отч.год.'!$E$155:$E$175)+SUMIF('11.2. Нови активи отч.год.'!$B$155:$B$175,$B233,'11.2. Нови активи отч.год.'!I$155:I$175)</f>
        <v>3</v>
      </c>
      <c r="J233" s="2783">
        <f>$E233-SUMIF('11.2. Нови активи отч.год.'!$B$155:$B$175,$B233,'11.2. Нови активи отч.год.'!$E$155:$E$175)+SUMIF('11.2. Нови активи отч.год.'!$B$155:$B$175,$B233,'11.2. Нови активи отч.год.'!J$155:J$175)</f>
        <v>3</v>
      </c>
      <c r="K233" s="2784">
        <f>$E233-SUMIF('11.2. Нови активи отч.год.'!$B$155:$B$175,$B233,'11.2. Нови активи отч.год.'!$E$155:$E$175)+SUMIF('11.2. Нови активи отч.год.'!$B$155:$B$175,$B233,'11.2. Нови активи отч.год.'!K$155:K$175)</f>
        <v>3</v>
      </c>
      <c r="L233" s="2246">
        <v>0</v>
      </c>
      <c r="M233" s="2782">
        <f>$L233-SUMIF('11.2. Нови активи отч.год.'!$B$155:$B$175,$B233,'11.2. Нови активи отч.год.'!$L$155:$L$175)+SUMIF('11.2. Нови активи отч.год.'!$B$155:$B$175,$B233,'11.2. Нови активи отч.год.'!M$155:M$175)</f>
        <v>0</v>
      </c>
      <c r="N233" s="2783">
        <f>$L233-SUMIF('11.2. Нови активи отч.год.'!$B$155:$B$175,$B233,'11.2. Нови активи отч.год.'!$L$155:$L$175)+SUMIF('11.2. Нови активи отч.год.'!$B$155:$B$175,$B233,'11.2. Нови активи отч.год.'!N$155:N$175)</f>
        <v>0</v>
      </c>
      <c r="O233" s="2783">
        <f>$L233-SUMIF('11.2. Нови активи отч.год.'!$B$155:$B$175,$B233,'11.2. Нови активи отч.год.'!$L$155:$L$175)+SUMIF('11.2. Нови активи отч.год.'!$B$155:$B$175,$B233,'11.2. Нови активи отч.год.'!O$155:O$175)</f>
        <v>0</v>
      </c>
      <c r="P233" s="2783">
        <f>$L233-SUMIF('11.2. Нови активи отч.год.'!$B$155:$B$175,$B233,'11.2. Нови активи отч.год.'!$L$155:$L$175)+SUMIF('11.2. Нови активи отч.год.'!$B$155:$B$175,$B233,'11.2. Нови активи отч.год.'!P$155:P$175)</f>
        <v>0</v>
      </c>
      <c r="Q233" s="2783">
        <f>$L233-SUMIF('11.2. Нови активи отч.год.'!$B$155:$B$175,$B233,'11.2. Нови активи отч.год.'!$L$155:$L$175)+SUMIF('11.2. Нови активи отч.год.'!$B$155:$B$175,$B233,'11.2. Нови активи отч.год.'!Q$155:Q$175)</f>
        <v>0</v>
      </c>
      <c r="R233" s="2784">
        <f>$L233-SUMIF('11.2. Нови активи отч.год.'!$B$155:$B$175,$B233,'11.2. Нови активи отч.год.'!$L$155:$L$175)+SUMIF('11.2. Нови активи отч.год.'!$B$155:$B$175,$B233,'11.2. Нови активи отч.год.'!R$155:R$175)</f>
        <v>0</v>
      </c>
      <c r="S233" s="2246">
        <v>0</v>
      </c>
      <c r="T233" s="2782">
        <f>$S233-SUMIF('11.2. Нови активи отч.год.'!$B$155:$B$175,$B233,'11.2. Нови активи отч.год.'!$S$155:$S$175)+SUMIF('11.2. Нови активи отч.год.'!$B$155:$B$175,$B233,'11.2. Нови активи отч.год.'!T$155:T$175)</f>
        <v>0</v>
      </c>
      <c r="U233" s="2783">
        <f>$S233-SUMIF('11.2. Нови активи отч.год.'!$B$155:$B$175,$B233,'11.2. Нови активи отч.год.'!$S$155:$S$175)+SUMIF('11.2. Нови активи отч.год.'!$B$155:$B$175,$B233,'11.2. Нови активи отч.год.'!U$155:U$175)</f>
        <v>0</v>
      </c>
      <c r="V233" s="2783">
        <f>$S233-SUMIF('11.2. Нови активи отч.год.'!$B$155:$B$175,$B233,'11.2. Нови активи отч.год.'!$S$155:$S$175)+SUMIF('11.2. Нови активи отч.год.'!$B$155:$B$175,$B233,'11.2. Нови активи отч.год.'!V$155:V$175)</f>
        <v>0</v>
      </c>
      <c r="W233" s="2783">
        <f>$S233-SUMIF('11.2. Нови активи отч.год.'!$B$155:$B$175,$B233,'11.2. Нови активи отч.год.'!$S$155:$S$175)+SUMIF('11.2. Нови активи отч.год.'!$B$155:$B$175,$B233,'11.2. Нови активи отч.год.'!W$155:W$175)</f>
        <v>0</v>
      </c>
      <c r="X233" s="2783">
        <f>$S233-SUMIF('11.2. Нови активи отч.год.'!$B$155:$B$175,$B233,'11.2. Нови активи отч.год.'!$S$155:$S$175)+SUMIF('11.2. Нови активи отч.год.'!$B$155:$B$175,$B233,'11.2. Нови активи отч.год.'!X$155:X$175)</f>
        <v>0</v>
      </c>
      <c r="Y233" s="2784">
        <f>$S233-SUMIF('11.2. Нови активи отч.год.'!$B$155:$B$175,$B233,'11.2. Нови активи отч.год.'!$S$155:$S$175)+SUMIF('11.2. Нови активи отч.год.'!$B$155:$B$175,$B233,'11.2. Нови активи отч.год.'!Y$155:Y$175)</f>
        <v>0</v>
      </c>
      <c r="Z233" s="1681"/>
      <c r="AA233" s="1703"/>
      <c r="AB233" s="1727"/>
    </row>
    <row r="234" spans="1:28" s="1643" customFormat="1" ht="24.75" thickBot="1">
      <c r="A234" s="1730">
        <v>21</v>
      </c>
      <c r="B234" s="1675" t="s">
        <v>960</v>
      </c>
      <c r="C234" s="1680">
        <v>0.2</v>
      </c>
      <c r="D234" s="1626" t="s">
        <v>911</v>
      </c>
      <c r="E234" s="2246">
        <v>3</v>
      </c>
      <c r="F234" s="2785">
        <f>$E234-SUMIF('11.2. Нови активи отч.год.'!$B$155:$B$175,$B234,'11.2. Нови активи отч.год.'!$E$155:$E$175)+SUMIF('11.2. Нови активи отч.год.'!$B$155:$B$175,$B234,'11.2. Нови активи отч.год.'!F$155:F$175)</f>
        <v>3</v>
      </c>
      <c r="G234" s="2786">
        <f>$E234-SUMIF('11.2. Нови активи отч.год.'!$B$155:$B$175,$B234,'11.2. Нови активи отч.год.'!$E$155:$E$175)+SUMIF('11.2. Нови активи отч.год.'!$B$155:$B$175,$B234,'11.2. Нови активи отч.год.'!G$155:G$175)</f>
        <v>3</v>
      </c>
      <c r="H234" s="2786">
        <f>$E234-SUMIF('11.2. Нови активи отч.год.'!$B$155:$B$175,$B234,'11.2. Нови активи отч.год.'!$E$155:$E$175)+SUMIF('11.2. Нови активи отч.год.'!$B$155:$B$175,$B234,'11.2. Нови активи отч.год.'!H$155:H$175)</f>
        <v>2</v>
      </c>
      <c r="I234" s="2786">
        <f>$E234-SUMIF('11.2. Нови активи отч.год.'!$B$155:$B$175,$B234,'11.2. Нови активи отч.год.'!$E$155:$E$175)+SUMIF('11.2. Нови активи отч.год.'!$B$155:$B$175,$B234,'11.2. Нови активи отч.год.'!I$155:I$175)</f>
        <v>0</v>
      </c>
      <c r="J234" s="2786">
        <f>$E234-SUMIF('11.2. Нови активи отч.год.'!$B$155:$B$175,$B234,'11.2. Нови активи отч.год.'!$E$155:$E$175)+SUMIF('11.2. Нови активи отч.год.'!$B$155:$B$175,$B234,'11.2. Нови активи отч.год.'!J$155:J$175)</f>
        <v>0</v>
      </c>
      <c r="K234" s="2787">
        <f>$E234-SUMIF('11.2. Нови активи отч.год.'!$B$155:$B$175,$B234,'11.2. Нови активи отч.год.'!$E$155:$E$175)+SUMIF('11.2. Нови активи отч.год.'!$B$155:$B$175,$B234,'11.2. Нови активи отч.год.'!K$155:K$175)</f>
        <v>0</v>
      </c>
      <c r="L234" s="2246">
        <v>0</v>
      </c>
      <c r="M234" s="2785">
        <f>$L234-SUMIF('11.2. Нови активи отч.год.'!$B$155:$B$175,$B234,'11.2. Нови активи отч.год.'!$L$155:$L$175)+SUMIF('11.2. Нови активи отч.год.'!$B$155:$B$175,$B234,'11.2. Нови активи отч.год.'!M$155:M$175)</f>
        <v>0</v>
      </c>
      <c r="N234" s="2786">
        <f>$L234-SUMIF('11.2. Нови активи отч.год.'!$B$155:$B$175,$B234,'11.2. Нови активи отч.год.'!$L$155:$L$175)+SUMIF('11.2. Нови активи отч.год.'!$B$155:$B$175,$B234,'11.2. Нови активи отч.год.'!N$155:N$175)</f>
        <v>0</v>
      </c>
      <c r="O234" s="2786">
        <f>$L234-SUMIF('11.2. Нови активи отч.год.'!$B$155:$B$175,$B234,'11.2. Нови активи отч.год.'!$L$155:$L$175)+SUMIF('11.2. Нови активи отч.год.'!$B$155:$B$175,$B234,'11.2. Нови активи отч.год.'!O$155:O$175)</f>
        <v>0</v>
      </c>
      <c r="P234" s="2786">
        <f>$L234-SUMIF('11.2. Нови активи отч.год.'!$B$155:$B$175,$B234,'11.2. Нови активи отч.год.'!$L$155:$L$175)+SUMIF('11.2. Нови активи отч.год.'!$B$155:$B$175,$B234,'11.2. Нови активи отч.год.'!P$155:P$175)</f>
        <v>0</v>
      </c>
      <c r="Q234" s="2786">
        <f>$L234-SUMIF('11.2. Нови активи отч.год.'!$B$155:$B$175,$B234,'11.2. Нови активи отч.год.'!$L$155:$L$175)+SUMIF('11.2. Нови активи отч.год.'!$B$155:$B$175,$B234,'11.2. Нови активи отч.год.'!Q$155:Q$175)</f>
        <v>0</v>
      </c>
      <c r="R234" s="2787">
        <f>$L234-SUMIF('11.2. Нови активи отч.год.'!$B$155:$B$175,$B234,'11.2. Нови активи отч.год.'!$L$155:$L$175)+SUMIF('11.2. Нови активи отч.год.'!$B$155:$B$175,$B234,'11.2. Нови активи отч.год.'!R$155:R$175)</f>
        <v>0</v>
      </c>
      <c r="S234" s="2246">
        <v>1</v>
      </c>
      <c r="T234" s="2785">
        <f>$S234-SUMIF('11.2. Нови активи отч.год.'!$B$155:$B$175,$B234,'11.2. Нови активи отч.год.'!$S$155:$S$175)+SUMIF('11.2. Нови активи отч.год.'!$B$155:$B$175,$B234,'11.2. Нови активи отч.год.'!T$155:T$175)</f>
        <v>1</v>
      </c>
      <c r="U234" s="2786">
        <f>$S234-SUMIF('11.2. Нови активи отч.год.'!$B$155:$B$175,$B234,'11.2. Нови активи отч.год.'!$S$155:$S$175)+SUMIF('11.2. Нови активи отч.год.'!$B$155:$B$175,$B234,'11.2. Нови активи отч.год.'!U$155:U$175)</f>
        <v>1</v>
      </c>
      <c r="V234" s="2786">
        <f>$S234-SUMIF('11.2. Нови активи отч.год.'!$B$155:$B$175,$B234,'11.2. Нови активи отч.год.'!$S$155:$S$175)+SUMIF('11.2. Нови активи отч.год.'!$B$155:$B$175,$B234,'11.2. Нови активи отч.год.'!V$155:V$175)</f>
        <v>0</v>
      </c>
      <c r="W234" s="2786">
        <f>$S234-SUMIF('11.2. Нови активи отч.год.'!$B$155:$B$175,$B234,'11.2. Нови активи отч.год.'!$S$155:$S$175)+SUMIF('11.2. Нови активи отч.год.'!$B$155:$B$175,$B234,'11.2. Нови активи отч.год.'!W$155:W$175)</f>
        <v>0</v>
      </c>
      <c r="X234" s="2786">
        <f>$S234-SUMIF('11.2. Нови активи отч.год.'!$B$155:$B$175,$B234,'11.2. Нови активи отч.год.'!$S$155:$S$175)+SUMIF('11.2. Нови активи отч.год.'!$B$155:$B$175,$B234,'11.2. Нови активи отч.год.'!X$155:X$175)</f>
        <v>0</v>
      </c>
      <c r="Y234" s="2787">
        <f>$S234-SUMIF('11.2. Нови активи отч.год.'!$B$155:$B$175,$B234,'11.2. Нови активи отч.год.'!$S$155:$S$175)+SUMIF('11.2. Нови активи отч.год.'!$B$155:$B$175,$B234,'11.2. Нови активи отч.год.'!Y$155:Y$175)</f>
        <v>0</v>
      </c>
      <c r="Z234" s="1681"/>
      <c r="AA234" s="1703"/>
      <c r="AB234" s="1727"/>
    </row>
    <row r="235" spans="1:28" s="1643" customFormat="1" ht="13.5" thickBot="1">
      <c r="A235" s="1695" t="s">
        <v>282</v>
      </c>
      <c r="B235" s="1696"/>
      <c r="C235" s="1696"/>
      <c r="D235" s="1666" t="s">
        <v>283</v>
      </c>
      <c r="E235" s="2762">
        <f t="shared" ref="E235:Y235" si="152">SUM(E236:E256)</f>
        <v>9389.9</v>
      </c>
      <c r="F235" s="2757">
        <f t="shared" si="152"/>
        <v>10164.5</v>
      </c>
      <c r="G235" s="1093">
        <f t="shared" si="152"/>
        <v>10939.1</v>
      </c>
      <c r="H235" s="1093">
        <f t="shared" si="152"/>
        <v>11712.7</v>
      </c>
      <c r="I235" s="1093">
        <f t="shared" si="152"/>
        <v>12484.300000000001</v>
      </c>
      <c r="J235" s="1093">
        <f t="shared" si="152"/>
        <v>13255.9</v>
      </c>
      <c r="K235" s="1095">
        <f t="shared" si="152"/>
        <v>14013.500000000002</v>
      </c>
      <c r="L235" s="2762">
        <f t="shared" si="152"/>
        <v>1907</v>
      </c>
      <c r="M235" s="2757">
        <f t="shared" si="152"/>
        <v>2230</v>
      </c>
      <c r="N235" s="1093">
        <f t="shared" si="152"/>
        <v>2553</v>
      </c>
      <c r="O235" s="1093">
        <f t="shared" si="152"/>
        <v>2876</v>
      </c>
      <c r="P235" s="2075">
        <f t="shared" si="152"/>
        <v>3199</v>
      </c>
      <c r="Q235" s="1093">
        <f t="shared" si="152"/>
        <v>3522</v>
      </c>
      <c r="R235" s="1093">
        <f t="shared" si="152"/>
        <v>3845</v>
      </c>
      <c r="S235" s="2762">
        <f t="shared" si="152"/>
        <v>3625.23</v>
      </c>
      <c r="T235" s="2775">
        <f t="shared" si="152"/>
        <v>4406.7299999999996</v>
      </c>
      <c r="U235" s="2776">
        <f t="shared" si="152"/>
        <v>5188.2299999999996</v>
      </c>
      <c r="V235" s="2776">
        <f t="shared" si="152"/>
        <v>5968.73</v>
      </c>
      <c r="W235" s="2777">
        <f t="shared" si="152"/>
        <v>6749.23</v>
      </c>
      <c r="X235" s="2776">
        <f t="shared" si="152"/>
        <v>7529.73</v>
      </c>
      <c r="Y235" s="2778">
        <f t="shared" si="152"/>
        <v>8310.23</v>
      </c>
      <c r="Z235" s="1672"/>
      <c r="AA235" s="1703"/>
      <c r="AB235" s="1727"/>
    </row>
    <row r="236" spans="1:28" s="1643" customFormat="1">
      <c r="A236" s="1674">
        <v>1</v>
      </c>
      <c r="B236" s="1732" t="s">
        <v>949</v>
      </c>
      <c r="C236" s="1691">
        <v>0</v>
      </c>
      <c r="D236" s="280" t="s">
        <v>760</v>
      </c>
      <c r="E236" s="2246">
        <v>0</v>
      </c>
      <c r="F236" s="2748">
        <f t="shared" ref="F236:K237" si="153">E236+F214</f>
        <v>0</v>
      </c>
      <c r="G236" s="2749">
        <f t="shared" si="153"/>
        <v>0</v>
      </c>
      <c r="H236" s="2749">
        <f t="shared" si="153"/>
        <v>0</v>
      </c>
      <c r="I236" s="2749">
        <f t="shared" si="153"/>
        <v>0</v>
      </c>
      <c r="J236" s="2749">
        <f t="shared" si="153"/>
        <v>0</v>
      </c>
      <c r="K236" s="2750">
        <f t="shared" si="153"/>
        <v>0</v>
      </c>
      <c r="L236" s="2246">
        <v>0</v>
      </c>
      <c r="M236" s="2748">
        <f t="shared" ref="M236:R237" si="154">L236+M214</f>
        <v>0</v>
      </c>
      <c r="N236" s="2749">
        <f t="shared" si="154"/>
        <v>0</v>
      </c>
      <c r="O236" s="2749">
        <f t="shared" si="154"/>
        <v>0</v>
      </c>
      <c r="P236" s="2749">
        <f t="shared" si="154"/>
        <v>0</v>
      </c>
      <c r="Q236" s="2749">
        <f t="shared" si="154"/>
        <v>0</v>
      </c>
      <c r="R236" s="2750">
        <f t="shared" si="154"/>
        <v>0</v>
      </c>
      <c r="S236" s="2246">
        <v>0</v>
      </c>
      <c r="T236" s="2748">
        <f t="shared" ref="T236:Y237" si="155">S236+T214</f>
        <v>0</v>
      </c>
      <c r="U236" s="2749">
        <f t="shared" si="155"/>
        <v>0</v>
      </c>
      <c r="V236" s="2749">
        <f t="shared" si="155"/>
        <v>0</v>
      </c>
      <c r="W236" s="2749">
        <f t="shared" si="155"/>
        <v>0</v>
      </c>
      <c r="X236" s="2749">
        <f t="shared" si="155"/>
        <v>0</v>
      </c>
      <c r="Y236" s="2750">
        <f t="shared" si="155"/>
        <v>0</v>
      </c>
      <c r="Z236" s="1672"/>
      <c r="AA236" s="1703"/>
      <c r="AB236" s="1727"/>
    </row>
    <row r="237" spans="1:28" s="1643" customFormat="1">
      <c r="A237" s="1674">
        <v>2</v>
      </c>
      <c r="B237" s="1675" t="s">
        <v>950</v>
      </c>
      <c r="C237" s="1676">
        <v>0.03</v>
      </c>
      <c r="D237" s="1728" t="s">
        <v>598</v>
      </c>
      <c r="E237" s="2246">
        <v>406</v>
      </c>
      <c r="F237" s="2751">
        <f t="shared" si="153"/>
        <v>468</v>
      </c>
      <c r="G237" s="2752">
        <f t="shared" si="153"/>
        <v>530</v>
      </c>
      <c r="H237" s="2752">
        <f t="shared" si="153"/>
        <v>592</v>
      </c>
      <c r="I237" s="2752">
        <f t="shared" si="153"/>
        <v>654</v>
      </c>
      <c r="J237" s="2752">
        <f t="shared" si="153"/>
        <v>716</v>
      </c>
      <c r="K237" s="2753">
        <f t="shared" si="153"/>
        <v>778</v>
      </c>
      <c r="L237" s="2246">
        <v>0</v>
      </c>
      <c r="M237" s="2751">
        <f t="shared" si="154"/>
        <v>0</v>
      </c>
      <c r="N237" s="2752">
        <f t="shared" si="154"/>
        <v>0</v>
      </c>
      <c r="O237" s="2752">
        <f t="shared" si="154"/>
        <v>0</v>
      </c>
      <c r="P237" s="2752">
        <f t="shared" si="154"/>
        <v>0</v>
      </c>
      <c r="Q237" s="2752">
        <f t="shared" si="154"/>
        <v>0</v>
      </c>
      <c r="R237" s="2753">
        <f t="shared" si="154"/>
        <v>0</v>
      </c>
      <c r="S237" s="2246">
        <v>124.35</v>
      </c>
      <c r="T237" s="2751">
        <f t="shared" si="155"/>
        <v>141.35</v>
      </c>
      <c r="U237" s="2752">
        <f t="shared" si="155"/>
        <v>158.35</v>
      </c>
      <c r="V237" s="2752">
        <f t="shared" si="155"/>
        <v>175.35</v>
      </c>
      <c r="W237" s="2752">
        <f t="shared" si="155"/>
        <v>192.35</v>
      </c>
      <c r="X237" s="2752">
        <f t="shared" si="155"/>
        <v>209.35</v>
      </c>
      <c r="Y237" s="2753">
        <f t="shared" si="155"/>
        <v>226.35</v>
      </c>
      <c r="Z237" s="1672"/>
      <c r="AA237" s="1703"/>
      <c r="AB237" s="1727"/>
    </row>
    <row r="238" spans="1:28" s="1643" customFormat="1">
      <c r="A238" s="1674">
        <v>3</v>
      </c>
      <c r="B238" s="1675">
        <v>911301</v>
      </c>
      <c r="C238" s="1676">
        <v>0.1</v>
      </c>
      <c r="D238" s="1728" t="s">
        <v>599</v>
      </c>
      <c r="E238" s="2246">
        <v>16.7</v>
      </c>
      <c r="F238" s="2751">
        <f t="shared" ref="F238:K238" si="156">E238+F216</f>
        <v>22.5</v>
      </c>
      <c r="G238" s="2752">
        <f t="shared" si="156"/>
        <v>28.3</v>
      </c>
      <c r="H238" s="2752">
        <f t="shared" si="156"/>
        <v>34.1</v>
      </c>
      <c r="I238" s="2752">
        <f t="shared" si="156"/>
        <v>39.9</v>
      </c>
      <c r="J238" s="2752">
        <f t="shared" si="156"/>
        <v>45.699999999999996</v>
      </c>
      <c r="K238" s="2753">
        <f t="shared" si="156"/>
        <v>51.499999999999993</v>
      </c>
      <c r="L238" s="2246">
        <v>0</v>
      </c>
      <c r="M238" s="2751">
        <f t="shared" ref="M238:R238" si="157">L238+M216</f>
        <v>0</v>
      </c>
      <c r="N238" s="2752">
        <f t="shared" si="157"/>
        <v>0</v>
      </c>
      <c r="O238" s="2752">
        <f t="shared" si="157"/>
        <v>0</v>
      </c>
      <c r="P238" s="2752">
        <f t="shared" si="157"/>
        <v>0</v>
      </c>
      <c r="Q238" s="2752">
        <f t="shared" si="157"/>
        <v>0</v>
      </c>
      <c r="R238" s="2753">
        <f t="shared" si="157"/>
        <v>0</v>
      </c>
      <c r="S238" s="2246">
        <v>22.3</v>
      </c>
      <c r="T238" s="2751">
        <f t="shared" ref="T238:Y238" si="158">S238+T216</f>
        <v>25.3</v>
      </c>
      <c r="U238" s="2752">
        <f t="shared" si="158"/>
        <v>28.3</v>
      </c>
      <c r="V238" s="2752">
        <f t="shared" si="158"/>
        <v>31.3</v>
      </c>
      <c r="W238" s="2752">
        <f t="shared" si="158"/>
        <v>34.299999999999997</v>
      </c>
      <c r="X238" s="2752">
        <f t="shared" si="158"/>
        <v>37.299999999999997</v>
      </c>
      <c r="Y238" s="2753">
        <f t="shared" si="158"/>
        <v>40.299999999999997</v>
      </c>
      <c r="Z238" s="1672"/>
      <c r="AA238" s="1703"/>
      <c r="AB238" s="1727"/>
    </row>
    <row r="239" spans="1:28" s="1643" customFormat="1">
      <c r="A239" s="1674">
        <v>4</v>
      </c>
      <c r="B239" s="1675">
        <v>911302</v>
      </c>
      <c r="C239" s="1676">
        <v>0.1</v>
      </c>
      <c r="D239" s="1728" t="s">
        <v>600</v>
      </c>
      <c r="E239" s="2246">
        <v>5.4</v>
      </c>
      <c r="F239" s="2751">
        <f t="shared" ref="F239:K239" si="159">E239+F217</f>
        <v>6.7</v>
      </c>
      <c r="G239" s="2752">
        <f t="shared" si="159"/>
        <v>8</v>
      </c>
      <c r="H239" s="2752">
        <f t="shared" si="159"/>
        <v>9.3000000000000007</v>
      </c>
      <c r="I239" s="2752">
        <f t="shared" si="159"/>
        <v>10.600000000000001</v>
      </c>
      <c r="J239" s="2752">
        <f t="shared" si="159"/>
        <v>11.900000000000002</v>
      </c>
      <c r="K239" s="2753">
        <f t="shared" si="159"/>
        <v>12.200000000000003</v>
      </c>
      <c r="L239" s="2246">
        <v>0</v>
      </c>
      <c r="M239" s="2751">
        <f t="shared" ref="M239:R239" si="160">L239+M217</f>
        <v>0</v>
      </c>
      <c r="N239" s="2752">
        <f t="shared" si="160"/>
        <v>0</v>
      </c>
      <c r="O239" s="2752">
        <f t="shared" si="160"/>
        <v>0</v>
      </c>
      <c r="P239" s="2752">
        <f t="shared" si="160"/>
        <v>0</v>
      </c>
      <c r="Q239" s="2752">
        <f t="shared" si="160"/>
        <v>0</v>
      </c>
      <c r="R239" s="2753">
        <f t="shared" si="160"/>
        <v>0</v>
      </c>
      <c r="S239" s="2246">
        <v>0</v>
      </c>
      <c r="T239" s="2751">
        <f t="shared" ref="T239:Y239" si="161">S239+T217</f>
        <v>0</v>
      </c>
      <c r="U239" s="2752">
        <f t="shared" si="161"/>
        <v>0</v>
      </c>
      <c r="V239" s="2752">
        <f t="shared" si="161"/>
        <v>0</v>
      </c>
      <c r="W239" s="2752">
        <f t="shared" si="161"/>
        <v>0</v>
      </c>
      <c r="X239" s="2752">
        <f t="shared" si="161"/>
        <v>0</v>
      </c>
      <c r="Y239" s="2753">
        <f t="shared" si="161"/>
        <v>0</v>
      </c>
      <c r="Z239" s="1672"/>
      <c r="AA239" s="1703"/>
      <c r="AB239" s="1727"/>
    </row>
    <row r="240" spans="1:28" s="1643" customFormat="1">
      <c r="A240" s="1674">
        <v>5</v>
      </c>
      <c r="B240" s="1675" t="s">
        <v>967</v>
      </c>
      <c r="C240" s="1676">
        <v>0.1</v>
      </c>
      <c r="D240" s="1626" t="s">
        <v>579</v>
      </c>
      <c r="E240" s="2246">
        <v>455.5</v>
      </c>
      <c r="F240" s="2751">
        <f t="shared" ref="F240:K240" si="162">E240+F218</f>
        <v>542.5</v>
      </c>
      <c r="G240" s="2752">
        <f t="shared" si="162"/>
        <v>629.5</v>
      </c>
      <c r="H240" s="2752">
        <f t="shared" si="162"/>
        <v>716.5</v>
      </c>
      <c r="I240" s="2752">
        <f t="shared" si="162"/>
        <v>803.5</v>
      </c>
      <c r="J240" s="2752">
        <f t="shared" si="162"/>
        <v>890.5</v>
      </c>
      <c r="K240" s="2753">
        <f t="shared" si="162"/>
        <v>965.5</v>
      </c>
      <c r="L240" s="2246">
        <v>0</v>
      </c>
      <c r="M240" s="2751">
        <f t="shared" ref="M240:R240" si="163">L240+M218</f>
        <v>0</v>
      </c>
      <c r="N240" s="2752">
        <f t="shared" si="163"/>
        <v>0</v>
      </c>
      <c r="O240" s="2752">
        <f t="shared" si="163"/>
        <v>0</v>
      </c>
      <c r="P240" s="2752">
        <f t="shared" si="163"/>
        <v>0</v>
      </c>
      <c r="Q240" s="2752">
        <f t="shared" si="163"/>
        <v>0</v>
      </c>
      <c r="R240" s="2753">
        <f t="shared" si="163"/>
        <v>0</v>
      </c>
      <c r="S240" s="2246">
        <v>36.380000000000003</v>
      </c>
      <c r="T240" s="2751">
        <f t="shared" ref="T240:Y240" si="164">S240+T218</f>
        <v>41.88</v>
      </c>
      <c r="U240" s="2752">
        <f t="shared" si="164"/>
        <v>47.38</v>
      </c>
      <c r="V240" s="2752">
        <f t="shared" si="164"/>
        <v>52.88</v>
      </c>
      <c r="W240" s="2752">
        <f t="shared" si="164"/>
        <v>58.38</v>
      </c>
      <c r="X240" s="2752">
        <f t="shared" si="164"/>
        <v>63.88</v>
      </c>
      <c r="Y240" s="2753">
        <f t="shared" si="164"/>
        <v>69.38</v>
      </c>
      <c r="Z240" s="1672"/>
      <c r="AA240" s="1703"/>
      <c r="AB240" s="1727"/>
    </row>
    <row r="241" spans="1:28" s="1643" customFormat="1">
      <c r="A241" s="1674">
        <v>6</v>
      </c>
      <c r="B241" s="1675" t="s">
        <v>968</v>
      </c>
      <c r="C241" s="1676">
        <v>0.1</v>
      </c>
      <c r="D241" s="1626" t="s">
        <v>1391</v>
      </c>
      <c r="E241" s="2246">
        <v>34.5</v>
      </c>
      <c r="F241" s="2751">
        <f t="shared" ref="F241:K241" si="165">E241+F219</f>
        <v>48</v>
      </c>
      <c r="G241" s="2752">
        <f t="shared" si="165"/>
        <v>61.5</v>
      </c>
      <c r="H241" s="2752">
        <f t="shared" si="165"/>
        <v>75</v>
      </c>
      <c r="I241" s="2752">
        <f t="shared" si="165"/>
        <v>88.5</v>
      </c>
      <c r="J241" s="2752">
        <f t="shared" si="165"/>
        <v>102</v>
      </c>
      <c r="K241" s="2753">
        <f t="shared" si="165"/>
        <v>115.5</v>
      </c>
      <c r="L241" s="2246">
        <v>0</v>
      </c>
      <c r="M241" s="2751">
        <f t="shared" ref="M241:R241" si="166">L241+M219</f>
        <v>0</v>
      </c>
      <c r="N241" s="2752">
        <f t="shared" si="166"/>
        <v>0</v>
      </c>
      <c r="O241" s="2752">
        <f t="shared" si="166"/>
        <v>0</v>
      </c>
      <c r="P241" s="2752">
        <f t="shared" si="166"/>
        <v>0</v>
      </c>
      <c r="Q241" s="2752">
        <f t="shared" si="166"/>
        <v>0</v>
      </c>
      <c r="R241" s="2753">
        <f t="shared" si="166"/>
        <v>0</v>
      </c>
      <c r="S241" s="2246">
        <v>0</v>
      </c>
      <c r="T241" s="2751">
        <f t="shared" ref="T241:Y241" si="167">S241+T219</f>
        <v>0</v>
      </c>
      <c r="U241" s="2752">
        <f t="shared" si="167"/>
        <v>0</v>
      </c>
      <c r="V241" s="2752">
        <f t="shared" si="167"/>
        <v>0</v>
      </c>
      <c r="W241" s="2752">
        <f t="shared" si="167"/>
        <v>0</v>
      </c>
      <c r="X241" s="2752">
        <f t="shared" si="167"/>
        <v>0</v>
      </c>
      <c r="Y241" s="2753">
        <f t="shared" si="167"/>
        <v>0</v>
      </c>
      <c r="Z241" s="1672"/>
      <c r="AA241" s="1703"/>
      <c r="AB241" s="1727"/>
    </row>
    <row r="242" spans="1:28" s="1643" customFormat="1" ht="24">
      <c r="A242" s="1674">
        <v>7</v>
      </c>
      <c r="B242" s="1675" t="s">
        <v>959</v>
      </c>
      <c r="C242" s="1676">
        <v>0.1</v>
      </c>
      <c r="D242" s="1626" t="s">
        <v>948</v>
      </c>
      <c r="E242" s="2246">
        <v>94.8</v>
      </c>
      <c r="F242" s="2751">
        <f t="shared" ref="F242:K242" si="168">E242+F220</f>
        <v>112.6</v>
      </c>
      <c r="G242" s="2752">
        <f t="shared" si="168"/>
        <v>130.4</v>
      </c>
      <c r="H242" s="2752">
        <f t="shared" si="168"/>
        <v>148.20000000000002</v>
      </c>
      <c r="I242" s="2752">
        <f t="shared" si="168"/>
        <v>166.00000000000003</v>
      </c>
      <c r="J242" s="2752">
        <f t="shared" si="168"/>
        <v>183.80000000000004</v>
      </c>
      <c r="K242" s="2753">
        <f t="shared" si="168"/>
        <v>201.60000000000005</v>
      </c>
      <c r="L242" s="2246">
        <v>0</v>
      </c>
      <c r="M242" s="2751">
        <f t="shared" ref="M242:R242" si="169">L242+M220</f>
        <v>0</v>
      </c>
      <c r="N242" s="2752">
        <f t="shared" si="169"/>
        <v>0</v>
      </c>
      <c r="O242" s="2752">
        <f t="shared" si="169"/>
        <v>0</v>
      </c>
      <c r="P242" s="2752">
        <f t="shared" si="169"/>
        <v>0</v>
      </c>
      <c r="Q242" s="2752">
        <f t="shared" si="169"/>
        <v>0</v>
      </c>
      <c r="R242" s="2753">
        <f t="shared" si="169"/>
        <v>0</v>
      </c>
      <c r="S242" s="2246">
        <v>0.5</v>
      </c>
      <c r="T242" s="2751">
        <f t="shared" ref="T242:Y242" si="170">S242+T220</f>
        <v>0.5</v>
      </c>
      <c r="U242" s="2752">
        <f t="shared" si="170"/>
        <v>0.5</v>
      </c>
      <c r="V242" s="2752">
        <f t="shared" si="170"/>
        <v>0.5</v>
      </c>
      <c r="W242" s="2752">
        <f t="shared" si="170"/>
        <v>0.5</v>
      </c>
      <c r="X242" s="2752">
        <f t="shared" si="170"/>
        <v>0.5</v>
      </c>
      <c r="Y242" s="2753">
        <f t="shared" si="170"/>
        <v>0.5</v>
      </c>
      <c r="Z242" s="1672"/>
      <c r="AA242" s="1703"/>
      <c r="AB242" s="1727"/>
    </row>
    <row r="243" spans="1:28" s="1643" customFormat="1">
      <c r="A243" s="1674">
        <v>8</v>
      </c>
      <c r="B243" s="1675" t="s">
        <v>969</v>
      </c>
      <c r="C243" s="1676">
        <v>0.1</v>
      </c>
      <c r="D243" s="1626" t="s">
        <v>966</v>
      </c>
      <c r="E243" s="2246">
        <v>17.399999999999999</v>
      </c>
      <c r="F243" s="2751">
        <f t="shared" ref="F243:F255" si="171">E243+F221</f>
        <v>24.4</v>
      </c>
      <c r="G243" s="2752">
        <f t="shared" ref="G243:K243" si="172">F243+G221</f>
        <v>31.4</v>
      </c>
      <c r="H243" s="2752">
        <f t="shared" si="172"/>
        <v>38.4</v>
      </c>
      <c r="I243" s="2752">
        <f t="shared" si="172"/>
        <v>45.4</v>
      </c>
      <c r="J243" s="2752">
        <f t="shared" si="172"/>
        <v>52.4</v>
      </c>
      <c r="K243" s="2753">
        <f t="shared" si="172"/>
        <v>59.4</v>
      </c>
      <c r="L243" s="2246">
        <v>0</v>
      </c>
      <c r="M243" s="2751">
        <f t="shared" ref="M243:R243" si="173">L243+M221</f>
        <v>0</v>
      </c>
      <c r="N243" s="2752">
        <f t="shared" si="173"/>
        <v>0</v>
      </c>
      <c r="O243" s="2752">
        <f t="shared" si="173"/>
        <v>0</v>
      </c>
      <c r="P243" s="2752">
        <f t="shared" si="173"/>
        <v>0</v>
      </c>
      <c r="Q243" s="2752">
        <f t="shared" si="173"/>
        <v>0</v>
      </c>
      <c r="R243" s="2753">
        <f t="shared" si="173"/>
        <v>0</v>
      </c>
      <c r="S243" s="2246">
        <v>0</v>
      </c>
      <c r="T243" s="2751">
        <f t="shared" ref="T243:Y243" si="174">S243+T221</f>
        <v>0</v>
      </c>
      <c r="U243" s="2752">
        <f t="shared" si="174"/>
        <v>0</v>
      </c>
      <c r="V243" s="2752">
        <f t="shared" si="174"/>
        <v>0</v>
      </c>
      <c r="W243" s="2752">
        <f t="shared" si="174"/>
        <v>0</v>
      </c>
      <c r="X243" s="2752">
        <f t="shared" si="174"/>
        <v>0</v>
      </c>
      <c r="Y243" s="2753">
        <f t="shared" si="174"/>
        <v>0</v>
      </c>
      <c r="Z243" s="1672"/>
      <c r="AA243" s="1703"/>
      <c r="AB243" s="1727"/>
    </row>
    <row r="244" spans="1:28" s="1643" customFormat="1">
      <c r="A244" s="1730">
        <v>9</v>
      </c>
      <c r="B244" s="1675">
        <v>911306</v>
      </c>
      <c r="C244" s="1676">
        <v>0.1</v>
      </c>
      <c r="D244" s="1626" t="s">
        <v>1471</v>
      </c>
      <c r="E244" s="2246">
        <v>29.4</v>
      </c>
      <c r="F244" s="2751">
        <f t="shared" si="171"/>
        <v>31.9</v>
      </c>
      <c r="G244" s="2752">
        <f t="shared" ref="G244" si="175">F244+G222</f>
        <v>34.4</v>
      </c>
      <c r="H244" s="2752">
        <f t="shared" ref="H244" si="176">G244+H222</f>
        <v>36.9</v>
      </c>
      <c r="I244" s="2752">
        <f t="shared" ref="I244" si="177">H244+I222</f>
        <v>39.4</v>
      </c>
      <c r="J244" s="2752">
        <f t="shared" ref="J244" si="178">I244+J222</f>
        <v>41.9</v>
      </c>
      <c r="K244" s="2753">
        <f t="shared" ref="K244" si="179">J244+K222</f>
        <v>43.4</v>
      </c>
      <c r="L244" s="2246">
        <v>0</v>
      </c>
      <c r="M244" s="2751">
        <f t="shared" ref="M244" si="180">L244+M222</f>
        <v>0</v>
      </c>
      <c r="N244" s="2752">
        <f t="shared" ref="N244" si="181">M244+N222</f>
        <v>0</v>
      </c>
      <c r="O244" s="2752">
        <f t="shared" ref="O244" si="182">N244+O222</f>
        <v>0</v>
      </c>
      <c r="P244" s="2752">
        <f t="shared" ref="P244" si="183">O244+P222</f>
        <v>0</v>
      </c>
      <c r="Q244" s="2752">
        <f t="shared" ref="Q244" si="184">P244+Q222</f>
        <v>0</v>
      </c>
      <c r="R244" s="2753">
        <f t="shared" ref="R244" si="185">Q244+R222</f>
        <v>0</v>
      </c>
      <c r="S244" s="2246">
        <v>23.7</v>
      </c>
      <c r="T244" s="2751">
        <f t="shared" ref="T244" si="186">S244+T222</f>
        <v>28.7</v>
      </c>
      <c r="U244" s="2752">
        <f t="shared" ref="U244" si="187">T244+U222</f>
        <v>33.700000000000003</v>
      </c>
      <c r="V244" s="2752">
        <f t="shared" ref="V244" si="188">U244+V222</f>
        <v>38.700000000000003</v>
      </c>
      <c r="W244" s="2752">
        <f t="shared" ref="W244" si="189">V244+W222</f>
        <v>43.7</v>
      </c>
      <c r="X244" s="2752">
        <f t="shared" ref="X244" si="190">W244+X222</f>
        <v>48.7</v>
      </c>
      <c r="Y244" s="2753">
        <f t="shared" ref="Y244" si="191">X244+Y222</f>
        <v>53.7</v>
      </c>
      <c r="Z244" s="1672"/>
      <c r="AA244" s="1703"/>
      <c r="AB244" s="1727"/>
    </row>
    <row r="245" spans="1:28" s="1643" customFormat="1">
      <c r="A245" s="1730">
        <v>10</v>
      </c>
      <c r="B245" s="1675">
        <v>91140101</v>
      </c>
      <c r="C245" s="1729">
        <v>0.1</v>
      </c>
      <c r="D245" s="1638" t="s">
        <v>1442</v>
      </c>
      <c r="E245" s="2246">
        <v>32</v>
      </c>
      <c r="F245" s="2751">
        <f t="shared" si="171"/>
        <v>38</v>
      </c>
      <c r="G245" s="2752">
        <f t="shared" ref="G245:K255" si="192">F245+G223</f>
        <v>44</v>
      </c>
      <c r="H245" s="2752">
        <f t="shared" si="192"/>
        <v>50</v>
      </c>
      <c r="I245" s="2752">
        <f t="shared" si="192"/>
        <v>56</v>
      </c>
      <c r="J245" s="2752">
        <f t="shared" si="192"/>
        <v>62</v>
      </c>
      <c r="K245" s="2753">
        <f t="shared" si="192"/>
        <v>68</v>
      </c>
      <c r="L245" s="2246">
        <v>0</v>
      </c>
      <c r="M245" s="2751">
        <f t="shared" ref="M245:R256" si="193">L245+M223</f>
        <v>0</v>
      </c>
      <c r="N245" s="2752">
        <f t="shared" si="193"/>
        <v>0</v>
      </c>
      <c r="O245" s="2752">
        <f t="shared" si="193"/>
        <v>0</v>
      </c>
      <c r="P245" s="2752">
        <f t="shared" si="193"/>
        <v>0</v>
      </c>
      <c r="Q245" s="2752">
        <f t="shared" si="193"/>
        <v>0</v>
      </c>
      <c r="R245" s="2753">
        <f t="shared" si="193"/>
        <v>0</v>
      </c>
      <c r="S245" s="2246">
        <v>0</v>
      </c>
      <c r="T245" s="2751">
        <f t="shared" ref="T245:Y256" si="194">S245+T223</f>
        <v>0</v>
      </c>
      <c r="U245" s="2752">
        <f t="shared" si="194"/>
        <v>0</v>
      </c>
      <c r="V245" s="2752">
        <f t="shared" si="194"/>
        <v>0</v>
      </c>
      <c r="W245" s="2752">
        <f t="shared" si="194"/>
        <v>0</v>
      </c>
      <c r="X245" s="2752">
        <f t="shared" si="194"/>
        <v>0</v>
      </c>
      <c r="Y245" s="2753">
        <f t="shared" si="194"/>
        <v>0</v>
      </c>
      <c r="Z245" s="1672"/>
      <c r="AA245" s="1703"/>
      <c r="AB245" s="1727"/>
    </row>
    <row r="246" spans="1:28" s="1643" customFormat="1">
      <c r="A246" s="1730">
        <v>11</v>
      </c>
      <c r="B246" s="1675">
        <v>91140102</v>
      </c>
      <c r="C246" s="1729">
        <v>0.04</v>
      </c>
      <c r="D246" s="1638" t="s">
        <v>604</v>
      </c>
      <c r="E246" s="2246">
        <v>0.7</v>
      </c>
      <c r="F246" s="2751">
        <f t="shared" si="171"/>
        <v>0.79999999999999993</v>
      </c>
      <c r="G246" s="2752">
        <f t="shared" si="192"/>
        <v>0.89999999999999991</v>
      </c>
      <c r="H246" s="2752">
        <f t="shared" si="192"/>
        <v>0.99999999999999989</v>
      </c>
      <c r="I246" s="2752">
        <f t="shared" si="192"/>
        <v>1.0999999999999999</v>
      </c>
      <c r="J246" s="2752">
        <f t="shared" si="192"/>
        <v>1.2</v>
      </c>
      <c r="K246" s="2753">
        <f t="shared" si="192"/>
        <v>1.3</v>
      </c>
      <c r="L246" s="2246">
        <v>0</v>
      </c>
      <c r="M246" s="2751">
        <f t="shared" si="193"/>
        <v>0</v>
      </c>
      <c r="N246" s="2752">
        <f t="shared" si="193"/>
        <v>0</v>
      </c>
      <c r="O246" s="2752">
        <f t="shared" si="193"/>
        <v>0</v>
      </c>
      <c r="P246" s="2752">
        <f t="shared" si="193"/>
        <v>0</v>
      </c>
      <c r="Q246" s="2752">
        <f t="shared" si="193"/>
        <v>0</v>
      </c>
      <c r="R246" s="2753">
        <f t="shared" si="193"/>
        <v>0</v>
      </c>
      <c r="S246" s="2246">
        <v>0</v>
      </c>
      <c r="T246" s="2751">
        <f t="shared" si="194"/>
        <v>0</v>
      </c>
      <c r="U246" s="2752">
        <f t="shared" si="194"/>
        <v>0</v>
      </c>
      <c r="V246" s="2752">
        <f t="shared" si="194"/>
        <v>0</v>
      </c>
      <c r="W246" s="2752">
        <f t="shared" si="194"/>
        <v>0</v>
      </c>
      <c r="X246" s="2752">
        <f t="shared" si="194"/>
        <v>0</v>
      </c>
      <c r="Y246" s="2753">
        <f t="shared" si="194"/>
        <v>0</v>
      </c>
      <c r="Z246" s="1672"/>
      <c r="AA246" s="1703"/>
      <c r="AB246" s="1727"/>
    </row>
    <row r="247" spans="1:28" s="1643" customFormat="1">
      <c r="A247" s="1730">
        <v>12</v>
      </c>
      <c r="B247" s="1675" t="s">
        <v>951</v>
      </c>
      <c r="C247" s="1676">
        <v>0.02</v>
      </c>
      <c r="D247" s="1624" t="s">
        <v>1007</v>
      </c>
      <c r="E247" s="2246"/>
      <c r="F247" s="2751">
        <f t="shared" si="171"/>
        <v>0</v>
      </c>
      <c r="G247" s="2752">
        <f t="shared" si="192"/>
        <v>0</v>
      </c>
      <c r="H247" s="2752">
        <f t="shared" si="192"/>
        <v>0</v>
      </c>
      <c r="I247" s="2752">
        <f t="shared" si="192"/>
        <v>0</v>
      </c>
      <c r="J247" s="2752">
        <f t="shared" si="192"/>
        <v>0</v>
      </c>
      <c r="K247" s="2753">
        <f t="shared" si="192"/>
        <v>0</v>
      </c>
      <c r="L247" s="2246">
        <v>0</v>
      </c>
      <c r="M247" s="2751">
        <f t="shared" si="193"/>
        <v>0</v>
      </c>
      <c r="N247" s="2752">
        <f t="shared" si="193"/>
        <v>0</v>
      </c>
      <c r="O247" s="2752">
        <f t="shared" si="193"/>
        <v>0</v>
      </c>
      <c r="P247" s="2752">
        <f t="shared" si="193"/>
        <v>0</v>
      </c>
      <c r="Q247" s="2752">
        <f t="shared" si="193"/>
        <v>0</v>
      </c>
      <c r="R247" s="2753">
        <f t="shared" si="193"/>
        <v>0</v>
      </c>
      <c r="S247" s="2246">
        <v>0</v>
      </c>
      <c r="T247" s="2751">
        <f t="shared" si="194"/>
        <v>0</v>
      </c>
      <c r="U247" s="2752">
        <f t="shared" si="194"/>
        <v>0</v>
      </c>
      <c r="V247" s="2752">
        <f t="shared" si="194"/>
        <v>0</v>
      </c>
      <c r="W247" s="2752">
        <f t="shared" si="194"/>
        <v>0</v>
      </c>
      <c r="X247" s="2752">
        <f t="shared" si="194"/>
        <v>0</v>
      </c>
      <c r="Y247" s="2753">
        <f t="shared" si="194"/>
        <v>0</v>
      </c>
      <c r="Z247" s="1672"/>
      <c r="AA247" s="1703"/>
      <c r="AB247" s="1727"/>
    </row>
    <row r="248" spans="1:28" s="1643" customFormat="1">
      <c r="A248" s="1730">
        <v>13</v>
      </c>
      <c r="B248" s="1675" t="s">
        <v>952</v>
      </c>
      <c r="C248" s="1676">
        <v>0.02</v>
      </c>
      <c r="D248" s="1624" t="s">
        <v>1008</v>
      </c>
      <c r="E248" s="2246">
        <v>1741.5</v>
      </c>
      <c r="F248" s="2751">
        <f t="shared" si="171"/>
        <v>1793.4</v>
      </c>
      <c r="G248" s="2752">
        <f t="shared" si="192"/>
        <v>1845.3000000000002</v>
      </c>
      <c r="H248" s="2752">
        <f t="shared" si="192"/>
        <v>1897.2000000000003</v>
      </c>
      <c r="I248" s="2752">
        <f t="shared" si="192"/>
        <v>1949.1000000000004</v>
      </c>
      <c r="J248" s="2752">
        <f t="shared" si="192"/>
        <v>2001.0000000000005</v>
      </c>
      <c r="K248" s="2753">
        <f t="shared" si="192"/>
        <v>2052.9000000000005</v>
      </c>
      <c r="L248" s="2246">
        <v>0</v>
      </c>
      <c r="M248" s="2751">
        <f t="shared" si="193"/>
        <v>0</v>
      </c>
      <c r="N248" s="2752">
        <f t="shared" si="193"/>
        <v>0</v>
      </c>
      <c r="O248" s="2752">
        <f t="shared" si="193"/>
        <v>0</v>
      </c>
      <c r="P248" s="2752">
        <f t="shared" si="193"/>
        <v>0</v>
      </c>
      <c r="Q248" s="2752">
        <f t="shared" si="193"/>
        <v>0</v>
      </c>
      <c r="R248" s="2753">
        <f t="shared" si="193"/>
        <v>0</v>
      </c>
      <c r="S248" s="2246">
        <v>0</v>
      </c>
      <c r="T248" s="2751">
        <f t="shared" si="194"/>
        <v>0</v>
      </c>
      <c r="U248" s="2752">
        <f t="shared" si="194"/>
        <v>0</v>
      </c>
      <c r="V248" s="2752">
        <f t="shared" si="194"/>
        <v>0</v>
      </c>
      <c r="W248" s="2752">
        <f t="shared" si="194"/>
        <v>0</v>
      </c>
      <c r="X248" s="2752">
        <f t="shared" si="194"/>
        <v>0</v>
      </c>
      <c r="Y248" s="2753">
        <f t="shared" si="194"/>
        <v>0</v>
      </c>
      <c r="Z248" s="1672"/>
      <c r="AA248" s="1703"/>
      <c r="AB248" s="1727"/>
    </row>
    <row r="249" spans="1:28" s="1643" customFormat="1">
      <c r="A249" s="1730">
        <v>14</v>
      </c>
      <c r="B249" s="1675" t="s">
        <v>953</v>
      </c>
      <c r="C249" s="1676">
        <v>0.02</v>
      </c>
      <c r="D249" s="1624" t="s">
        <v>590</v>
      </c>
      <c r="E249" s="2246">
        <v>67.400000000000006</v>
      </c>
      <c r="F249" s="2751">
        <f t="shared" si="171"/>
        <v>70.100000000000009</v>
      </c>
      <c r="G249" s="2752">
        <f t="shared" si="192"/>
        <v>72.800000000000011</v>
      </c>
      <c r="H249" s="2752">
        <f t="shared" si="192"/>
        <v>75.500000000000014</v>
      </c>
      <c r="I249" s="2752">
        <f t="shared" si="192"/>
        <v>78.200000000000017</v>
      </c>
      <c r="J249" s="2752">
        <f t="shared" si="192"/>
        <v>80.90000000000002</v>
      </c>
      <c r="K249" s="2753">
        <f t="shared" si="192"/>
        <v>83.600000000000023</v>
      </c>
      <c r="L249" s="2246">
        <v>0</v>
      </c>
      <c r="M249" s="2751">
        <f t="shared" si="193"/>
        <v>0</v>
      </c>
      <c r="N249" s="2752">
        <f t="shared" si="193"/>
        <v>0</v>
      </c>
      <c r="O249" s="2752">
        <f t="shared" si="193"/>
        <v>0</v>
      </c>
      <c r="P249" s="2752">
        <f t="shared" si="193"/>
        <v>0</v>
      </c>
      <c r="Q249" s="2752">
        <f t="shared" si="193"/>
        <v>0</v>
      </c>
      <c r="R249" s="2753">
        <f t="shared" si="193"/>
        <v>0</v>
      </c>
      <c r="S249" s="2246">
        <v>0</v>
      </c>
      <c r="T249" s="2751">
        <f t="shared" si="194"/>
        <v>0</v>
      </c>
      <c r="U249" s="2752">
        <f t="shared" si="194"/>
        <v>0</v>
      </c>
      <c r="V249" s="2752">
        <f t="shared" si="194"/>
        <v>0</v>
      </c>
      <c r="W249" s="2752">
        <f t="shared" si="194"/>
        <v>0</v>
      </c>
      <c r="X249" s="2752">
        <f t="shared" si="194"/>
        <v>0</v>
      </c>
      <c r="Y249" s="2753">
        <f t="shared" si="194"/>
        <v>0</v>
      </c>
      <c r="Z249" s="1672"/>
      <c r="AA249" s="1703"/>
      <c r="AB249" s="1727"/>
    </row>
    <row r="250" spans="1:28" s="1643" customFormat="1">
      <c r="A250" s="1730">
        <v>15</v>
      </c>
      <c r="B250" s="1675" t="s">
        <v>954</v>
      </c>
      <c r="C250" s="1676">
        <v>0.02</v>
      </c>
      <c r="D250" s="1638" t="s">
        <v>591</v>
      </c>
      <c r="E250" s="2246">
        <v>120</v>
      </c>
      <c r="F250" s="2751">
        <f t="shared" si="171"/>
        <v>123</v>
      </c>
      <c r="G250" s="2752">
        <f t="shared" si="192"/>
        <v>126</v>
      </c>
      <c r="H250" s="2752">
        <f t="shared" si="192"/>
        <v>129</v>
      </c>
      <c r="I250" s="2752">
        <f t="shared" si="192"/>
        <v>132</v>
      </c>
      <c r="J250" s="2752">
        <f t="shared" si="192"/>
        <v>135</v>
      </c>
      <c r="K250" s="2753">
        <f t="shared" si="192"/>
        <v>138</v>
      </c>
      <c r="L250" s="2246">
        <v>0</v>
      </c>
      <c r="M250" s="2751">
        <f t="shared" si="193"/>
        <v>0</v>
      </c>
      <c r="N250" s="2752">
        <f t="shared" si="193"/>
        <v>0</v>
      </c>
      <c r="O250" s="2752">
        <f t="shared" si="193"/>
        <v>0</v>
      </c>
      <c r="P250" s="2752">
        <f t="shared" si="193"/>
        <v>0</v>
      </c>
      <c r="Q250" s="2752">
        <f t="shared" si="193"/>
        <v>0</v>
      </c>
      <c r="R250" s="2753">
        <f t="shared" si="193"/>
        <v>0</v>
      </c>
      <c r="S250" s="2246">
        <v>0</v>
      </c>
      <c r="T250" s="2751">
        <f t="shared" si="194"/>
        <v>0</v>
      </c>
      <c r="U250" s="2752">
        <f t="shared" si="194"/>
        <v>0</v>
      </c>
      <c r="V250" s="2752">
        <f t="shared" si="194"/>
        <v>0</v>
      </c>
      <c r="W250" s="2752">
        <f t="shared" si="194"/>
        <v>0</v>
      </c>
      <c r="X250" s="2752">
        <f t="shared" si="194"/>
        <v>0</v>
      </c>
      <c r="Y250" s="2753">
        <f t="shared" si="194"/>
        <v>0</v>
      </c>
      <c r="Z250" s="1672"/>
      <c r="AA250" s="1703"/>
      <c r="AB250" s="1727"/>
    </row>
    <row r="251" spans="1:28" s="1643" customFormat="1">
      <c r="A251" s="1730">
        <v>16</v>
      </c>
      <c r="B251" s="1675" t="s">
        <v>955</v>
      </c>
      <c r="C251" s="1676">
        <v>0.02</v>
      </c>
      <c r="D251" s="1624" t="s">
        <v>592</v>
      </c>
      <c r="E251" s="2246">
        <v>6152</v>
      </c>
      <c r="F251" s="2751">
        <f t="shared" si="171"/>
        <v>6652</v>
      </c>
      <c r="G251" s="2752">
        <f t="shared" si="192"/>
        <v>7152</v>
      </c>
      <c r="H251" s="2752">
        <f t="shared" si="192"/>
        <v>7652</v>
      </c>
      <c r="I251" s="2752">
        <f t="shared" si="192"/>
        <v>8152</v>
      </c>
      <c r="J251" s="2752">
        <f t="shared" si="192"/>
        <v>8652</v>
      </c>
      <c r="K251" s="2753">
        <f t="shared" si="192"/>
        <v>9152</v>
      </c>
      <c r="L251" s="2246">
        <v>0</v>
      </c>
      <c r="M251" s="2751">
        <f t="shared" si="193"/>
        <v>0</v>
      </c>
      <c r="N251" s="2752">
        <f t="shared" si="193"/>
        <v>0</v>
      </c>
      <c r="O251" s="2752">
        <f t="shared" si="193"/>
        <v>0</v>
      </c>
      <c r="P251" s="2752">
        <f t="shared" si="193"/>
        <v>0</v>
      </c>
      <c r="Q251" s="2752">
        <f t="shared" si="193"/>
        <v>0</v>
      </c>
      <c r="R251" s="2753">
        <f t="shared" si="193"/>
        <v>0</v>
      </c>
      <c r="S251" s="2246">
        <v>0</v>
      </c>
      <c r="T251" s="2751">
        <f t="shared" si="194"/>
        <v>0</v>
      </c>
      <c r="U251" s="2752">
        <f t="shared" si="194"/>
        <v>0</v>
      </c>
      <c r="V251" s="2752">
        <f t="shared" si="194"/>
        <v>0</v>
      </c>
      <c r="W251" s="2752">
        <f t="shared" si="194"/>
        <v>0</v>
      </c>
      <c r="X251" s="2752">
        <f t="shared" si="194"/>
        <v>0</v>
      </c>
      <c r="Y251" s="2753">
        <f t="shared" si="194"/>
        <v>0</v>
      </c>
      <c r="Z251" s="1672"/>
      <c r="AA251" s="1703"/>
      <c r="AB251" s="1727"/>
    </row>
    <row r="252" spans="1:28" s="1643" customFormat="1">
      <c r="A252" s="1730">
        <v>17</v>
      </c>
      <c r="B252" s="1675" t="s">
        <v>956</v>
      </c>
      <c r="C252" s="1676">
        <v>0.02</v>
      </c>
      <c r="D252" s="1626" t="s">
        <v>593</v>
      </c>
      <c r="E252" s="2246">
        <v>0</v>
      </c>
      <c r="F252" s="2751">
        <f t="shared" si="171"/>
        <v>0</v>
      </c>
      <c r="G252" s="2752">
        <f t="shared" si="192"/>
        <v>0</v>
      </c>
      <c r="H252" s="2752">
        <f t="shared" si="192"/>
        <v>0</v>
      </c>
      <c r="I252" s="2752">
        <f t="shared" si="192"/>
        <v>0</v>
      </c>
      <c r="J252" s="2752">
        <f t="shared" si="192"/>
        <v>0</v>
      </c>
      <c r="K252" s="2753">
        <f t="shared" si="192"/>
        <v>0</v>
      </c>
      <c r="L252" s="2246">
        <v>1907</v>
      </c>
      <c r="M252" s="2751">
        <f t="shared" si="193"/>
        <v>2230</v>
      </c>
      <c r="N252" s="2752">
        <f t="shared" si="193"/>
        <v>2553</v>
      </c>
      <c r="O252" s="2752">
        <f t="shared" si="193"/>
        <v>2876</v>
      </c>
      <c r="P252" s="2752">
        <f t="shared" si="193"/>
        <v>3199</v>
      </c>
      <c r="Q252" s="2752">
        <f t="shared" si="193"/>
        <v>3522</v>
      </c>
      <c r="R252" s="2753">
        <f t="shared" si="193"/>
        <v>3845</v>
      </c>
      <c r="S252" s="2246">
        <v>0</v>
      </c>
      <c r="T252" s="2751">
        <f t="shared" si="194"/>
        <v>0</v>
      </c>
      <c r="U252" s="2752">
        <f t="shared" si="194"/>
        <v>0</v>
      </c>
      <c r="V252" s="2752">
        <f t="shared" si="194"/>
        <v>0</v>
      </c>
      <c r="W252" s="2752">
        <f t="shared" si="194"/>
        <v>0</v>
      </c>
      <c r="X252" s="2752">
        <f t="shared" si="194"/>
        <v>0</v>
      </c>
      <c r="Y252" s="2753">
        <f t="shared" si="194"/>
        <v>0</v>
      </c>
      <c r="Z252" s="1672"/>
      <c r="AA252" s="1703"/>
      <c r="AB252" s="1727"/>
    </row>
    <row r="253" spans="1:28" s="1643" customFormat="1" ht="24">
      <c r="A253" s="1730">
        <v>18</v>
      </c>
      <c r="B253" s="1675" t="s">
        <v>957</v>
      </c>
      <c r="C253" s="1676">
        <v>0.04</v>
      </c>
      <c r="D253" s="1626" t="s">
        <v>594</v>
      </c>
      <c r="E253" s="2246">
        <v>0</v>
      </c>
      <c r="F253" s="2751">
        <f t="shared" si="171"/>
        <v>0</v>
      </c>
      <c r="G253" s="2752">
        <f t="shared" si="192"/>
        <v>0</v>
      </c>
      <c r="H253" s="2752">
        <f t="shared" si="192"/>
        <v>0</v>
      </c>
      <c r="I253" s="2752">
        <f t="shared" si="192"/>
        <v>0</v>
      </c>
      <c r="J253" s="2752">
        <f t="shared" si="192"/>
        <v>0</v>
      </c>
      <c r="K253" s="2753">
        <f t="shared" si="192"/>
        <v>0</v>
      </c>
      <c r="L253" s="2246">
        <v>0</v>
      </c>
      <c r="M253" s="2751">
        <f t="shared" si="193"/>
        <v>0</v>
      </c>
      <c r="N253" s="2752">
        <f t="shared" si="193"/>
        <v>0</v>
      </c>
      <c r="O253" s="2752">
        <f t="shared" si="193"/>
        <v>0</v>
      </c>
      <c r="P253" s="2752">
        <f t="shared" si="193"/>
        <v>0</v>
      </c>
      <c r="Q253" s="2752">
        <f t="shared" si="193"/>
        <v>0</v>
      </c>
      <c r="R253" s="2753">
        <f t="shared" si="193"/>
        <v>0</v>
      </c>
      <c r="S253" s="2246">
        <v>3415</v>
      </c>
      <c r="T253" s="2751">
        <f t="shared" si="194"/>
        <v>4165</v>
      </c>
      <c r="U253" s="2752">
        <f t="shared" si="194"/>
        <v>4915</v>
      </c>
      <c r="V253" s="2752">
        <f t="shared" si="194"/>
        <v>5665</v>
      </c>
      <c r="W253" s="2752">
        <f t="shared" si="194"/>
        <v>6415</v>
      </c>
      <c r="X253" s="2752">
        <f t="shared" si="194"/>
        <v>7165</v>
      </c>
      <c r="Y253" s="2753">
        <f t="shared" si="194"/>
        <v>7915</v>
      </c>
      <c r="Z253" s="1672"/>
      <c r="AA253" s="1703"/>
      <c r="AB253" s="1727"/>
    </row>
    <row r="254" spans="1:28" s="1643" customFormat="1">
      <c r="A254" s="1730">
        <v>19</v>
      </c>
      <c r="B254" s="1675" t="s">
        <v>958</v>
      </c>
      <c r="C254" s="1676">
        <v>0.04</v>
      </c>
      <c r="D254" s="1626" t="s">
        <v>595</v>
      </c>
      <c r="E254" s="2246">
        <v>78</v>
      </c>
      <c r="F254" s="2751">
        <f t="shared" si="171"/>
        <v>86</v>
      </c>
      <c r="G254" s="2752">
        <f t="shared" si="192"/>
        <v>94</v>
      </c>
      <c r="H254" s="2752">
        <f t="shared" si="192"/>
        <v>102</v>
      </c>
      <c r="I254" s="2752">
        <f t="shared" si="192"/>
        <v>110</v>
      </c>
      <c r="J254" s="2752">
        <f t="shared" si="192"/>
        <v>118</v>
      </c>
      <c r="K254" s="2753">
        <f t="shared" si="192"/>
        <v>126</v>
      </c>
      <c r="L254" s="2246">
        <v>0</v>
      </c>
      <c r="M254" s="2751">
        <f t="shared" si="193"/>
        <v>0</v>
      </c>
      <c r="N254" s="2752">
        <f t="shared" si="193"/>
        <v>0</v>
      </c>
      <c r="O254" s="2752">
        <f t="shared" si="193"/>
        <v>0</v>
      </c>
      <c r="P254" s="2752">
        <f t="shared" si="193"/>
        <v>0</v>
      </c>
      <c r="Q254" s="2752">
        <f t="shared" si="193"/>
        <v>0</v>
      </c>
      <c r="R254" s="2753">
        <f t="shared" si="193"/>
        <v>0</v>
      </c>
      <c r="S254" s="2246">
        <v>0</v>
      </c>
      <c r="T254" s="2751">
        <f t="shared" si="194"/>
        <v>0</v>
      </c>
      <c r="U254" s="2752">
        <f t="shared" si="194"/>
        <v>0</v>
      </c>
      <c r="V254" s="2752">
        <f t="shared" si="194"/>
        <v>0</v>
      </c>
      <c r="W254" s="2752">
        <f t="shared" si="194"/>
        <v>0</v>
      </c>
      <c r="X254" s="2752">
        <f t="shared" si="194"/>
        <v>0</v>
      </c>
      <c r="Y254" s="2753">
        <f t="shared" si="194"/>
        <v>0</v>
      </c>
      <c r="Z254" s="1672"/>
      <c r="AA254" s="1703"/>
      <c r="AB254" s="1727"/>
    </row>
    <row r="255" spans="1:28" s="1643" customFormat="1">
      <c r="A255" s="1730">
        <v>20</v>
      </c>
      <c r="B255" s="1675" t="s">
        <v>970</v>
      </c>
      <c r="C255" s="1676">
        <v>0.04</v>
      </c>
      <c r="D255" s="1728" t="s">
        <v>606</v>
      </c>
      <c r="E255" s="2246">
        <v>115</v>
      </c>
      <c r="F255" s="2751">
        <f t="shared" si="171"/>
        <v>118</v>
      </c>
      <c r="G255" s="2752">
        <f t="shared" si="192"/>
        <v>121</v>
      </c>
      <c r="H255" s="2752">
        <f t="shared" si="192"/>
        <v>124</v>
      </c>
      <c r="I255" s="2752">
        <f t="shared" si="192"/>
        <v>127</v>
      </c>
      <c r="J255" s="2752">
        <f t="shared" si="192"/>
        <v>130</v>
      </c>
      <c r="K255" s="2753">
        <f t="shared" si="192"/>
        <v>133</v>
      </c>
      <c r="L255" s="2246">
        <v>0</v>
      </c>
      <c r="M255" s="2751">
        <f t="shared" si="193"/>
        <v>0</v>
      </c>
      <c r="N255" s="2752">
        <f t="shared" si="193"/>
        <v>0</v>
      </c>
      <c r="O255" s="2752">
        <f t="shared" si="193"/>
        <v>0</v>
      </c>
      <c r="P255" s="2752">
        <f t="shared" si="193"/>
        <v>0</v>
      </c>
      <c r="Q255" s="2752">
        <f t="shared" si="193"/>
        <v>0</v>
      </c>
      <c r="R255" s="2753">
        <f t="shared" si="193"/>
        <v>0</v>
      </c>
      <c r="S255" s="2246">
        <v>0</v>
      </c>
      <c r="T255" s="2751">
        <f t="shared" si="194"/>
        <v>0</v>
      </c>
      <c r="U255" s="2752">
        <f t="shared" si="194"/>
        <v>0</v>
      </c>
      <c r="V255" s="2752">
        <f t="shared" si="194"/>
        <v>0</v>
      </c>
      <c r="W255" s="2752">
        <f t="shared" si="194"/>
        <v>0</v>
      </c>
      <c r="X255" s="2752">
        <f t="shared" si="194"/>
        <v>0</v>
      </c>
      <c r="Y255" s="2753">
        <f t="shared" si="194"/>
        <v>0</v>
      </c>
      <c r="Z255" s="1672"/>
      <c r="AA255" s="1703"/>
      <c r="AB255" s="1727"/>
    </row>
    <row r="256" spans="1:28" s="1643" customFormat="1" ht="24.75" thickBot="1">
      <c r="A256" s="1730">
        <v>21</v>
      </c>
      <c r="B256" s="1675" t="s">
        <v>960</v>
      </c>
      <c r="C256" s="1680">
        <v>0.2</v>
      </c>
      <c r="D256" s="1626" t="s">
        <v>911</v>
      </c>
      <c r="E256" s="2246">
        <v>23.6</v>
      </c>
      <c r="F256" s="2754">
        <f t="shared" ref="F256:K256" si="195">E256+F234</f>
        <v>26.6</v>
      </c>
      <c r="G256" s="2755">
        <f t="shared" si="195"/>
        <v>29.6</v>
      </c>
      <c r="H256" s="2755">
        <f t="shared" si="195"/>
        <v>31.6</v>
      </c>
      <c r="I256" s="2755">
        <f t="shared" si="195"/>
        <v>31.6</v>
      </c>
      <c r="J256" s="2755">
        <f t="shared" si="195"/>
        <v>31.6</v>
      </c>
      <c r="K256" s="2756">
        <f t="shared" si="195"/>
        <v>31.6</v>
      </c>
      <c r="L256" s="2246">
        <v>0</v>
      </c>
      <c r="M256" s="2754">
        <f t="shared" si="193"/>
        <v>0</v>
      </c>
      <c r="N256" s="2755">
        <f t="shared" si="193"/>
        <v>0</v>
      </c>
      <c r="O256" s="2755">
        <f t="shared" si="193"/>
        <v>0</v>
      </c>
      <c r="P256" s="2755">
        <f t="shared" si="193"/>
        <v>0</v>
      </c>
      <c r="Q256" s="2755">
        <f t="shared" si="193"/>
        <v>0</v>
      </c>
      <c r="R256" s="2756">
        <f t="shared" si="193"/>
        <v>0</v>
      </c>
      <c r="S256" s="2246">
        <v>3</v>
      </c>
      <c r="T256" s="2754">
        <f t="shared" si="194"/>
        <v>4</v>
      </c>
      <c r="U256" s="2755">
        <f t="shared" si="194"/>
        <v>5</v>
      </c>
      <c r="V256" s="2755">
        <f t="shared" si="194"/>
        <v>5</v>
      </c>
      <c r="W256" s="2755">
        <f t="shared" si="194"/>
        <v>5</v>
      </c>
      <c r="X256" s="2755">
        <f t="shared" si="194"/>
        <v>5</v>
      </c>
      <c r="Y256" s="2756">
        <f t="shared" si="194"/>
        <v>5</v>
      </c>
      <c r="Z256" s="1672"/>
      <c r="AA256" s="1703"/>
      <c r="AB256" s="1727"/>
    </row>
    <row r="257" spans="1:28" s="1643" customFormat="1" ht="13.5" thickBot="1">
      <c r="A257" s="1695" t="s">
        <v>284</v>
      </c>
      <c r="B257" s="1696"/>
      <c r="C257" s="1696"/>
      <c r="D257" s="1666" t="s">
        <v>285</v>
      </c>
      <c r="E257" s="2762">
        <f t="shared" ref="E257:Y257" si="196">SUM(E258:E278)</f>
        <v>22808.935000000001</v>
      </c>
      <c r="F257" s="2757">
        <f t="shared" si="196"/>
        <v>22034.334999999999</v>
      </c>
      <c r="G257" s="1093">
        <f t="shared" si="196"/>
        <v>21259.735000000001</v>
      </c>
      <c r="H257" s="1093">
        <f t="shared" si="196"/>
        <v>20486.135000000002</v>
      </c>
      <c r="I257" s="2075">
        <f t="shared" si="196"/>
        <v>19714.535</v>
      </c>
      <c r="J257" s="1093">
        <f t="shared" si="196"/>
        <v>18942.935000000001</v>
      </c>
      <c r="K257" s="1093">
        <f t="shared" si="196"/>
        <v>18185.334999999999</v>
      </c>
      <c r="L257" s="1719">
        <f t="shared" si="196"/>
        <v>14266</v>
      </c>
      <c r="M257" s="1723">
        <f t="shared" si="196"/>
        <v>13943</v>
      </c>
      <c r="N257" s="1724">
        <f t="shared" si="196"/>
        <v>13620</v>
      </c>
      <c r="O257" s="1724">
        <f t="shared" si="196"/>
        <v>13297</v>
      </c>
      <c r="P257" s="1725">
        <f t="shared" si="196"/>
        <v>12974</v>
      </c>
      <c r="Q257" s="1724">
        <f t="shared" si="196"/>
        <v>12651</v>
      </c>
      <c r="R257" s="1724">
        <f t="shared" si="196"/>
        <v>12328</v>
      </c>
      <c r="S257" s="1719">
        <f t="shared" si="196"/>
        <v>25185.27</v>
      </c>
      <c r="T257" s="1723">
        <f t="shared" si="196"/>
        <v>24403.77</v>
      </c>
      <c r="U257" s="1724">
        <f t="shared" si="196"/>
        <v>23622.27</v>
      </c>
      <c r="V257" s="1724">
        <f t="shared" si="196"/>
        <v>22841.77</v>
      </c>
      <c r="W257" s="1725">
        <f t="shared" si="196"/>
        <v>22061.27</v>
      </c>
      <c r="X257" s="1724">
        <f t="shared" si="196"/>
        <v>21280.77</v>
      </c>
      <c r="Y257" s="1731">
        <f t="shared" si="196"/>
        <v>20500.27</v>
      </c>
      <c r="Z257" s="1672"/>
      <c r="AA257" s="1703"/>
      <c r="AB257" s="1727"/>
    </row>
    <row r="258" spans="1:28">
      <c r="A258" s="1674">
        <v>1</v>
      </c>
      <c r="B258" s="1732" t="s">
        <v>949</v>
      </c>
      <c r="C258" s="1691">
        <v>0</v>
      </c>
      <c r="D258" s="280" t="s">
        <v>760</v>
      </c>
      <c r="E258" s="2763">
        <f>E192-E236</f>
        <v>83</v>
      </c>
      <c r="F258" s="2748">
        <f t="shared" ref="F258:K259" si="197">F192-F236</f>
        <v>83</v>
      </c>
      <c r="G258" s="2749">
        <f t="shared" si="197"/>
        <v>83</v>
      </c>
      <c r="H258" s="2749">
        <f t="shared" si="197"/>
        <v>83</v>
      </c>
      <c r="I258" s="2749">
        <f t="shared" si="197"/>
        <v>83</v>
      </c>
      <c r="J258" s="2749">
        <f t="shared" si="197"/>
        <v>83</v>
      </c>
      <c r="K258" s="2750">
        <f t="shared" si="197"/>
        <v>83</v>
      </c>
      <c r="L258" s="2766">
        <f>L192-L236</f>
        <v>0</v>
      </c>
      <c r="M258" s="2767">
        <f t="shared" ref="M258:R259" si="198">M192-M236</f>
        <v>0</v>
      </c>
      <c r="N258" s="2749">
        <f t="shared" si="198"/>
        <v>0</v>
      </c>
      <c r="O258" s="2749">
        <f t="shared" si="198"/>
        <v>0</v>
      </c>
      <c r="P258" s="2749">
        <f t="shared" si="198"/>
        <v>0</v>
      </c>
      <c r="Q258" s="2749">
        <f t="shared" si="198"/>
        <v>0</v>
      </c>
      <c r="R258" s="2750">
        <f t="shared" si="198"/>
        <v>0</v>
      </c>
      <c r="S258" s="2763">
        <f>S192-S236</f>
        <v>2</v>
      </c>
      <c r="T258" s="2748">
        <f t="shared" ref="T258:Y259" si="199">T192-T236</f>
        <v>2</v>
      </c>
      <c r="U258" s="2749">
        <f t="shared" si="199"/>
        <v>2</v>
      </c>
      <c r="V258" s="2749">
        <f t="shared" si="199"/>
        <v>2</v>
      </c>
      <c r="W258" s="2749">
        <f t="shared" si="199"/>
        <v>2</v>
      </c>
      <c r="X258" s="2749">
        <f t="shared" si="199"/>
        <v>2</v>
      </c>
      <c r="Y258" s="2750">
        <f t="shared" si="199"/>
        <v>2</v>
      </c>
      <c r="Z258" s="1672"/>
      <c r="AA258" s="1703"/>
    </row>
    <row r="259" spans="1:28">
      <c r="A259" s="1674">
        <v>2</v>
      </c>
      <c r="B259" s="1675" t="s">
        <v>950</v>
      </c>
      <c r="C259" s="1676">
        <v>0.03</v>
      </c>
      <c r="D259" s="1728" t="s">
        <v>598</v>
      </c>
      <c r="E259" s="2763">
        <f>E193-E237</f>
        <v>1683</v>
      </c>
      <c r="F259" s="2751">
        <f t="shared" si="197"/>
        <v>1621</v>
      </c>
      <c r="G259" s="2752">
        <f t="shared" si="197"/>
        <v>1559</v>
      </c>
      <c r="H259" s="2752">
        <f t="shared" si="197"/>
        <v>1497</v>
      </c>
      <c r="I259" s="2752">
        <f t="shared" si="197"/>
        <v>1435</v>
      </c>
      <c r="J259" s="2752">
        <f t="shared" si="197"/>
        <v>1373</v>
      </c>
      <c r="K259" s="2753">
        <f t="shared" si="197"/>
        <v>1311</v>
      </c>
      <c r="L259" s="2768">
        <f>L193-L237</f>
        <v>0</v>
      </c>
      <c r="M259" s="2769">
        <f t="shared" si="198"/>
        <v>0</v>
      </c>
      <c r="N259" s="2752">
        <f t="shared" si="198"/>
        <v>0</v>
      </c>
      <c r="O259" s="2752">
        <f t="shared" si="198"/>
        <v>0</v>
      </c>
      <c r="P259" s="2752">
        <f t="shared" si="198"/>
        <v>0</v>
      </c>
      <c r="Q259" s="2752">
        <f t="shared" si="198"/>
        <v>0</v>
      </c>
      <c r="R259" s="2753">
        <f t="shared" si="198"/>
        <v>0</v>
      </c>
      <c r="S259" s="2763">
        <f>S193-S237</f>
        <v>452.65</v>
      </c>
      <c r="T259" s="2751">
        <f t="shared" si="199"/>
        <v>435.65</v>
      </c>
      <c r="U259" s="2752">
        <f t="shared" si="199"/>
        <v>418.65</v>
      </c>
      <c r="V259" s="2752">
        <f t="shared" si="199"/>
        <v>401.65</v>
      </c>
      <c r="W259" s="2752">
        <f t="shared" si="199"/>
        <v>384.65</v>
      </c>
      <c r="X259" s="2752">
        <f t="shared" si="199"/>
        <v>367.65</v>
      </c>
      <c r="Y259" s="2753">
        <f t="shared" si="199"/>
        <v>350.65</v>
      </c>
      <c r="Z259" s="1672"/>
      <c r="AA259" s="1703"/>
    </row>
    <row r="260" spans="1:28">
      <c r="A260" s="1674">
        <v>3</v>
      </c>
      <c r="B260" s="1675">
        <v>911301</v>
      </c>
      <c r="C260" s="1676">
        <v>0.1</v>
      </c>
      <c r="D260" s="1728" t="s">
        <v>599</v>
      </c>
      <c r="E260" s="2763">
        <f>E194-E238</f>
        <v>41.2</v>
      </c>
      <c r="F260" s="2751">
        <f t="shared" ref="F260:K260" si="200">F194-F238</f>
        <v>35.4</v>
      </c>
      <c r="G260" s="2752">
        <f t="shared" si="200"/>
        <v>29.599999999999998</v>
      </c>
      <c r="H260" s="2752">
        <f t="shared" si="200"/>
        <v>23.799999999999997</v>
      </c>
      <c r="I260" s="2752">
        <f t="shared" si="200"/>
        <v>18</v>
      </c>
      <c r="J260" s="2752">
        <f t="shared" si="200"/>
        <v>12.200000000000003</v>
      </c>
      <c r="K260" s="2753">
        <f t="shared" si="200"/>
        <v>6.4000000000000057</v>
      </c>
      <c r="L260" s="2768">
        <f>L194-L238</f>
        <v>0</v>
      </c>
      <c r="M260" s="2769">
        <f t="shared" ref="M260:R260" si="201">M194-M238</f>
        <v>0</v>
      </c>
      <c r="N260" s="2752">
        <f t="shared" si="201"/>
        <v>0</v>
      </c>
      <c r="O260" s="2752">
        <f t="shared" si="201"/>
        <v>0</v>
      </c>
      <c r="P260" s="2752">
        <f t="shared" si="201"/>
        <v>0</v>
      </c>
      <c r="Q260" s="2752">
        <f t="shared" si="201"/>
        <v>0</v>
      </c>
      <c r="R260" s="2753">
        <f t="shared" si="201"/>
        <v>0</v>
      </c>
      <c r="S260" s="2763">
        <f>S194-S238</f>
        <v>16.7</v>
      </c>
      <c r="T260" s="2751">
        <f t="shared" ref="T260:Y260" si="202">T194-T238</f>
        <v>13.7</v>
      </c>
      <c r="U260" s="2752">
        <f t="shared" si="202"/>
        <v>10.7</v>
      </c>
      <c r="V260" s="2752">
        <f t="shared" si="202"/>
        <v>7.6999999999999993</v>
      </c>
      <c r="W260" s="2752">
        <f t="shared" si="202"/>
        <v>4.7000000000000028</v>
      </c>
      <c r="X260" s="2752">
        <f t="shared" si="202"/>
        <v>1.7000000000000028</v>
      </c>
      <c r="Y260" s="2753">
        <f t="shared" si="202"/>
        <v>-1.2999999999999972</v>
      </c>
      <c r="Z260" s="1672"/>
      <c r="AA260" s="1703"/>
    </row>
    <row r="261" spans="1:28">
      <c r="A261" s="1674">
        <v>4</v>
      </c>
      <c r="B261" s="1675">
        <v>911302</v>
      </c>
      <c r="C261" s="1676">
        <v>0.1</v>
      </c>
      <c r="D261" s="1728" t="s">
        <v>600</v>
      </c>
      <c r="E261" s="2763">
        <f t="shared" ref="E261:E278" si="203">E195-E239</f>
        <v>7.2999999999999989</v>
      </c>
      <c r="F261" s="2751">
        <f t="shared" ref="F261:L276" si="204">F195-F239</f>
        <v>5.9999999999999991</v>
      </c>
      <c r="G261" s="2752">
        <f t="shared" si="204"/>
        <v>4.6999999999999993</v>
      </c>
      <c r="H261" s="2752">
        <f t="shared" si="204"/>
        <v>3.3999999999999986</v>
      </c>
      <c r="I261" s="2752">
        <f t="shared" si="204"/>
        <v>2.0999999999999979</v>
      </c>
      <c r="J261" s="2752">
        <f t="shared" si="204"/>
        <v>0.79999999999999716</v>
      </c>
      <c r="K261" s="2753">
        <f t="shared" si="204"/>
        <v>0.49999999999999645</v>
      </c>
      <c r="L261" s="2768">
        <f t="shared" si="204"/>
        <v>0</v>
      </c>
      <c r="M261" s="2769">
        <f t="shared" ref="M261:S276" si="205">M195-M239</f>
        <v>0</v>
      </c>
      <c r="N261" s="2752">
        <f t="shared" si="205"/>
        <v>0</v>
      </c>
      <c r="O261" s="2752">
        <f t="shared" si="205"/>
        <v>0</v>
      </c>
      <c r="P261" s="2752">
        <f t="shared" si="205"/>
        <v>0</v>
      </c>
      <c r="Q261" s="2752">
        <f t="shared" si="205"/>
        <v>0</v>
      </c>
      <c r="R261" s="2753">
        <f t="shared" si="205"/>
        <v>0</v>
      </c>
      <c r="S261" s="2763">
        <f t="shared" si="205"/>
        <v>0</v>
      </c>
      <c r="T261" s="2751">
        <f t="shared" ref="T261:Y261" si="206">T195-T239</f>
        <v>0</v>
      </c>
      <c r="U261" s="2752">
        <f t="shared" si="206"/>
        <v>0</v>
      </c>
      <c r="V261" s="2752">
        <f t="shared" si="206"/>
        <v>0</v>
      </c>
      <c r="W261" s="2752">
        <f t="shared" si="206"/>
        <v>0</v>
      </c>
      <c r="X261" s="2752">
        <f t="shared" si="206"/>
        <v>0</v>
      </c>
      <c r="Y261" s="2753">
        <f t="shared" si="206"/>
        <v>0</v>
      </c>
      <c r="Z261" s="1672"/>
      <c r="AA261" s="1703"/>
    </row>
    <row r="262" spans="1:28">
      <c r="A262" s="1674">
        <v>5</v>
      </c>
      <c r="B262" s="1675" t="s">
        <v>967</v>
      </c>
      <c r="C262" s="1676">
        <v>0.1</v>
      </c>
      <c r="D262" s="1626" t="s">
        <v>579</v>
      </c>
      <c r="E262" s="2763">
        <f t="shared" si="203"/>
        <v>510.5</v>
      </c>
      <c r="F262" s="2751">
        <f t="shared" ref="F262:K266" si="207">F196-F240</f>
        <v>423.5</v>
      </c>
      <c r="G262" s="2752">
        <f t="shared" si="207"/>
        <v>336.5</v>
      </c>
      <c r="H262" s="2752">
        <f t="shared" si="207"/>
        <v>249.5</v>
      </c>
      <c r="I262" s="2752">
        <f t="shared" si="207"/>
        <v>162.5</v>
      </c>
      <c r="J262" s="2752">
        <f t="shared" si="207"/>
        <v>75.5</v>
      </c>
      <c r="K262" s="2753">
        <f t="shared" si="207"/>
        <v>0.5</v>
      </c>
      <c r="L262" s="2768">
        <f t="shared" si="204"/>
        <v>0</v>
      </c>
      <c r="M262" s="2769">
        <f t="shared" ref="M262:R266" si="208">M196-M240</f>
        <v>0</v>
      </c>
      <c r="N262" s="2752">
        <f t="shared" si="208"/>
        <v>0</v>
      </c>
      <c r="O262" s="2752">
        <f t="shared" si="208"/>
        <v>0</v>
      </c>
      <c r="P262" s="2752">
        <f t="shared" si="208"/>
        <v>0</v>
      </c>
      <c r="Q262" s="2752">
        <f t="shared" si="208"/>
        <v>0</v>
      </c>
      <c r="R262" s="2753">
        <f t="shared" si="208"/>
        <v>0</v>
      </c>
      <c r="S262" s="2763">
        <f t="shared" si="205"/>
        <v>23.619999999999997</v>
      </c>
      <c r="T262" s="2751">
        <f t="shared" ref="T262:Y266" si="209">T196-T240</f>
        <v>18.119999999999997</v>
      </c>
      <c r="U262" s="2752">
        <f t="shared" si="209"/>
        <v>12.619999999999997</v>
      </c>
      <c r="V262" s="2752">
        <f t="shared" si="209"/>
        <v>7.1199999999999974</v>
      </c>
      <c r="W262" s="2752">
        <f t="shared" si="209"/>
        <v>1.6199999999999974</v>
      </c>
      <c r="X262" s="2752">
        <f t="shared" si="209"/>
        <v>-3.8800000000000026</v>
      </c>
      <c r="Y262" s="2753">
        <f t="shared" si="209"/>
        <v>-9.3799999999999955</v>
      </c>
      <c r="Z262" s="1672"/>
      <c r="AA262" s="1703"/>
    </row>
    <row r="263" spans="1:28">
      <c r="A263" s="1674">
        <v>6</v>
      </c>
      <c r="B263" s="1675" t="s">
        <v>968</v>
      </c>
      <c r="C263" s="1676">
        <v>0.1</v>
      </c>
      <c r="D263" s="1626" t="s">
        <v>1391</v>
      </c>
      <c r="E263" s="2763">
        <f t="shared" si="203"/>
        <v>110.30000000000001</v>
      </c>
      <c r="F263" s="2751">
        <f t="shared" si="207"/>
        <v>96.800000000000011</v>
      </c>
      <c r="G263" s="2752">
        <f t="shared" si="207"/>
        <v>83.300000000000011</v>
      </c>
      <c r="H263" s="2752">
        <f t="shared" si="207"/>
        <v>69.800000000000011</v>
      </c>
      <c r="I263" s="2752">
        <f t="shared" si="207"/>
        <v>56.300000000000011</v>
      </c>
      <c r="J263" s="2752">
        <f t="shared" si="207"/>
        <v>42.800000000000011</v>
      </c>
      <c r="K263" s="2753">
        <f t="shared" si="207"/>
        <v>29.300000000000011</v>
      </c>
      <c r="L263" s="2768">
        <f t="shared" si="204"/>
        <v>0</v>
      </c>
      <c r="M263" s="2769">
        <f t="shared" si="208"/>
        <v>0</v>
      </c>
      <c r="N263" s="2752">
        <f t="shared" si="208"/>
        <v>0</v>
      </c>
      <c r="O263" s="2752">
        <f t="shared" si="208"/>
        <v>0</v>
      </c>
      <c r="P263" s="2752">
        <f t="shared" si="208"/>
        <v>0</v>
      </c>
      <c r="Q263" s="2752">
        <f t="shared" si="208"/>
        <v>0</v>
      </c>
      <c r="R263" s="2753">
        <f t="shared" si="208"/>
        <v>0</v>
      </c>
      <c r="S263" s="2763">
        <f t="shared" si="205"/>
        <v>0</v>
      </c>
      <c r="T263" s="2751">
        <f t="shared" si="209"/>
        <v>0</v>
      </c>
      <c r="U263" s="2752">
        <f t="shared" si="209"/>
        <v>0</v>
      </c>
      <c r="V263" s="2752">
        <f t="shared" si="209"/>
        <v>0</v>
      </c>
      <c r="W263" s="2752">
        <f t="shared" si="209"/>
        <v>0</v>
      </c>
      <c r="X263" s="2752">
        <f t="shared" si="209"/>
        <v>0</v>
      </c>
      <c r="Y263" s="2753">
        <f t="shared" si="209"/>
        <v>0</v>
      </c>
      <c r="Z263" s="1672"/>
      <c r="AA263" s="1703"/>
    </row>
    <row r="264" spans="1:28" ht="24">
      <c r="A264" s="1674">
        <v>7</v>
      </c>
      <c r="B264" s="1675" t="s">
        <v>959</v>
      </c>
      <c r="C264" s="1676">
        <v>0.1</v>
      </c>
      <c r="D264" s="1626" t="s">
        <v>948</v>
      </c>
      <c r="E264" s="2763">
        <f t="shared" si="203"/>
        <v>119.2</v>
      </c>
      <c r="F264" s="2751">
        <f t="shared" si="207"/>
        <v>101.4</v>
      </c>
      <c r="G264" s="2752">
        <f t="shared" si="207"/>
        <v>83.6</v>
      </c>
      <c r="H264" s="2752">
        <f t="shared" si="207"/>
        <v>65.799999999999983</v>
      </c>
      <c r="I264" s="2752">
        <f t="shared" si="207"/>
        <v>47.999999999999972</v>
      </c>
      <c r="J264" s="2752">
        <f t="shared" si="207"/>
        <v>30.19999999999996</v>
      </c>
      <c r="K264" s="2753">
        <f t="shared" si="207"/>
        <v>12.399999999999949</v>
      </c>
      <c r="L264" s="2768">
        <f t="shared" si="204"/>
        <v>0</v>
      </c>
      <c r="M264" s="2769">
        <f t="shared" si="208"/>
        <v>0</v>
      </c>
      <c r="N264" s="2752">
        <f t="shared" si="208"/>
        <v>0</v>
      </c>
      <c r="O264" s="2752">
        <f t="shared" si="208"/>
        <v>0</v>
      </c>
      <c r="P264" s="2752">
        <f t="shared" si="208"/>
        <v>0</v>
      </c>
      <c r="Q264" s="2752">
        <f t="shared" si="208"/>
        <v>0</v>
      </c>
      <c r="R264" s="2753">
        <f t="shared" si="208"/>
        <v>0</v>
      </c>
      <c r="S264" s="2763">
        <f t="shared" si="205"/>
        <v>0</v>
      </c>
      <c r="T264" s="2751">
        <f t="shared" si="209"/>
        <v>0</v>
      </c>
      <c r="U264" s="2752">
        <f t="shared" si="209"/>
        <v>0</v>
      </c>
      <c r="V264" s="2752">
        <f t="shared" si="209"/>
        <v>0</v>
      </c>
      <c r="W264" s="2752">
        <f t="shared" si="209"/>
        <v>0</v>
      </c>
      <c r="X264" s="2752">
        <f t="shared" si="209"/>
        <v>0</v>
      </c>
      <c r="Y264" s="2753">
        <f t="shared" si="209"/>
        <v>0</v>
      </c>
      <c r="Z264" s="1672"/>
      <c r="AA264" s="1703"/>
    </row>
    <row r="265" spans="1:28">
      <c r="A265" s="1674">
        <v>8</v>
      </c>
      <c r="B265" s="1675" t="s">
        <v>969</v>
      </c>
      <c r="C265" s="1676">
        <v>0.1</v>
      </c>
      <c r="D265" s="1626" t="s">
        <v>966</v>
      </c>
      <c r="E265" s="2763">
        <f t="shared" si="203"/>
        <v>52.9</v>
      </c>
      <c r="F265" s="2751">
        <f t="shared" si="207"/>
        <v>45.9</v>
      </c>
      <c r="G265" s="2752">
        <f t="shared" si="207"/>
        <v>38.9</v>
      </c>
      <c r="H265" s="2752">
        <f t="shared" si="207"/>
        <v>31.9</v>
      </c>
      <c r="I265" s="2752">
        <f t="shared" si="207"/>
        <v>24.9</v>
      </c>
      <c r="J265" s="2752">
        <f t="shared" si="207"/>
        <v>17.899999999999999</v>
      </c>
      <c r="K265" s="2753">
        <f t="shared" si="207"/>
        <v>10.899999999999999</v>
      </c>
      <c r="L265" s="2768">
        <f t="shared" si="204"/>
        <v>0</v>
      </c>
      <c r="M265" s="2769">
        <f t="shared" si="208"/>
        <v>0</v>
      </c>
      <c r="N265" s="2752">
        <f t="shared" si="208"/>
        <v>0</v>
      </c>
      <c r="O265" s="2752">
        <f t="shared" si="208"/>
        <v>0</v>
      </c>
      <c r="P265" s="2752">
        <f t="shared" si="208"/>
        <v>0</v>
      </c>
      <c r="Q265" s="2752">
        <f t="shared" si="208"/>
        <v>0</v>
      </c>
      <c r="R265" s="2753">
        <f t="shared" si="208"/>
        <v>0</v>
      </c>
      <c r="S265" s="2763">
        <f t="shared" si="205"/>
        <v>0</v>
      </c>
      <c r="T265" s="2751">
        <f t="shared" si="209"/>
        <v>0</v>
      </c>
      <c r="U265" s="2752">
        <f t="shared" si="209"/>
        <v>0</v>
      </c>
      <c r="V265" s="2752">
        <f t="shared" si="209"/>
        <v>0</v>
      </c>
      <c r="W265" s="2752">
        <f t="shared" si="209"/>
        <v>0</v>
      </c>
      <c r="X265" s="2752">
        <f t="shared" si="209"/>
        <v>0</v>
      </c>
      <c r="Y265" s="2753">
        <f t="shared" si="209"/>
        <v>0</v>
      </c>
      <c r="Z265" s="1672"/>
      <c r="AA265" s="1703"/>
    </row>
    <row r="266" spans="1:28">
      <c r="A266" s="1730">
        <v>9</v>
      </c>
      <c r="B266" s="1675">
        <v>911306</v>
      </c>
      <c r="C266" s="1676">
        <v>0.1</v>
      </c>
      <c r="D266" s="1626" t="s">
        <v>1471</v>
      </c>
      <c r="E266" s="2763">
        <f t="shared" si="203"/>
        <v>14.050000000000004</v>
      </c>
      <c r="F266" s="2751">
        <f t="shared" si="207"/>
        <v>11.550000000000004</v>
      </c>
      <c r="G266" s="2752">
        <f t="shared" si="207"/>
        <v>9.0500000000000043</v>
      </c>
      <c r="H266" s="2752">
        <f t="shared" si="207"/>
        <v>6.5500000000000043</v>
      </c>
      <c r="I266" s="2752">
        <f t="shared" si="207"/>
        <v>4.0500000000000043</v>
      </c>
      <c r="J266" s="2752">
        <f t="shared" si="207"/>
        <v>1.5500000000000043</v>
      </c>
      <c r="K266" s="2753">
        <f t="shared" si="207"/>
        <v>5.0000000000004263E-2</v>
      </c>
      <c r="L266" s="2768">
        <f t="shared" si="204"/>
        <v>0</v>
      </c>
      <c r="M266" s="2769">
        <f t="shared" si="208"/>
        <v>0</v>
      </c>
      <c r="N266" s="2752">
        <f t="shared" si="208"/>
        <v>0</v>
      </c>
      <c r="O266" s="2752">
        <f t="shared" si="208"/>
        <v>0</v>
      </c>
      <c r="P266" s="2752">
        <f t="shared" si="208"/>
        <v>0</v>
      </c>
      <c r="Q266" s="2752">
        <f t="shared" si="208"/>
        <v>0</v>
      </c>
      <c r="R266" s="2753">
        <f t="shared" si="208"/>
        <v>0</v>
      </c>
      <c r="S266" s="2763">
        <f t="shared" si="205"/>
        <v>43.3</v>
      </c>
      <c r="T266" s="2751">
        <f t="shared" si="209"/>
        <v>38.299999999999997</v>
      </c>
      <c r="U266" s="2752">
        <f t="shared" si="209"/>
        <v>33.299999999999997</v>
      </c>
      <c r="V266" s="2752">
        <f t="shared" si="209"/>
        <v>28.299999999999997</v>
      </c>
      <c r="W266" s="2752">
        <f t="shared" si="209"/>
        <v>23.299999999999997</v>
      </c>
      <c r="X266" s="2752">
        <f t="shared" si="209"/>
        <v>18.299999999999997</v>
      </c>
      <c r="Y266" s="2753">
        <f t="shared" si="209"/>
        <v>13.299999999999997</v>
      </c>
      <c r="Z266" s="1672"/>
      <c r="AA266" s="1703"/>
    </row>
    <row r="267" spans="1:28">
      <c r="A267" s="1730">
        <v>10</v>
      </c>
      <c r="B267" s="1675">
        <v>91140101</v>
      </c>
      <c r="C267" s="1729">
        <v>0.1</v>
      </c>
      <c r="D267" s="1638" t="s">
        <v>1442</v>
      </c>
      <c r="E267" s="2763">
        <f t="shared" si="203"/>
        <v>43.75</v>
      </c>
      <c r="F267" s="2751">
        <f t="shared" ref="F267:K267" si="210">F201-F245</f>
        <v>37.75</v>
      </c>
      <c r="G267" s="2752">
        <f t="shared" si="210"/>
        <v>31.75</v>
      </c>
      <c r="H267" s="2752">
        <f t="shared" si="210"/>
        <v>25.75</v>
      </c>
      <c r="I267" s="2752">
        <f t="shared" si="210"/>
        <v>19.75</v>
      </c>
      <c r="J267" s="2752">
        <f t="shared" si="210"/>
        <v>13.75</v>
      </c>
      <c r="K267" s="2753">
        <f t="shared" si="210"/>
        <v>7.75</v>
      </c>
      <c r="L267" s="2768">
        <f t="shared" si="204"/>
        <v>0</v>
      </c>
      <c r="M267" s="2769">
        <f t="shared" ref="M267:R267" si="211">M201-M245</f>
        <v>0</v>
      </c>
      <c r="N267" s="2752">
        <f t="shared" si="211"/>
        <v>0</v>
      </c>
      <c r="O267" s="2752">
        <f t="shared" si="211"/>
        <v>0</v>
      </c>
      <c r="P267" s="2752">
        <f t="shared" si="211"/>
        <v>0</v>
      </c>
      <c r="Q267" s="2752">
        <f t="shared" si="211"/>
        <v>0</v>
      </c>
      <c r="R267" s="2753">
        <f t="shared" si="211"/>
        <v>0</v>
      </c>
      <c r="S267" s="2763">
        <f t="shared" si="205"/>
        <v>0</v>
      </c>
      <c r="T267" s="2751">
        <f t="shared" ref="T267:Y267" si="212">T201-T245</f>
        <v>0</v>
      </c>
      <c r="U267" s="2752">
        <f t="shared" si="212"/>
        <v>0</v>
      </c>
      <c r="V267" s="2752">
        <f t="shared" si="212"/>
        <v>0</v>
      </c>
      <c r="W267" s="2752">
        <f t="shared" si="212"/>
        <v>0</v>
      </c>
      <c r="X267" s="2752">
        <f t="shared" si="212"/>
        <v>0</v>
      </c>
      <c r="Y267" s="2753">
        <f t="shared" si="212"/>
        <v>0</v>
      </c>
      <c r="Z267" s="1672"/>
      <c r="AA267" s="1703"/>
    </row>
    <row r="268" spans="1:28">
      <c r="A268" s="1730">
        <v>11</v>
      </c>
      <c r="B268" s="1675">
        <v>91140102</v>
      </c>
      <c r="C268" s="1729">
        <v>0.04</v>
      </c>
      <c r="D268" s="1638" t="s">
        <v>604</v>
      </c>
      <c r="E268" s="2763">
        <f t="shared" si="203"/>
        <v>0.30000000000000004</v>
      </c>
      <c r="F268" s="2751">
        <f t="shared" ref="F268:K268" si="213">F202-F246</f>
        <v>0.20000000000000007</v>
      </c>
      <c r="G268" s="2752">
        <f t="shared" si="213"/>
        <v>0.10000000000000009</v>
      </c>
      <c r="H268" s="2752">
        <f t="shared" si="213"/>
        <v>0</v>
      </c>
      <c r="I268" s="2752">
        <f t="shared" si="213"/>
        <v>-9.9999999999999867E-2</v>
      </c>
      <c r="J268" s="2752">
        <f t="shared" si="213"/>
        <v>-0.19999999999999996</v>
      </c>
      <c r="K268" s="2753">
        <f t="shared" si="213"/>
        <v>-0.30000000000000004</v>
      </c>
      <c r="L268" s="2768">
        <f t="shared" si="204"/>
        <v>0</v>
      </c>
      <c r="M268" s="2769">
        <f t="shared" ref="M268:R268" si="214">M202-M246</f>
        <v>0</v>
      </c>
      <c r="N268" s="2752">
        <f t="shared" si="214"/>
        <v>0</v>
      </c>
      <c r="O268" s="2752">
        <f t="shared" si="214"/>
        <v>0</v>
      </c>
      <c r="P268" s="2752">
        <f t="shared" si="214"/>
        <v>0</v>
      </c>
      <c r="Q268" s="2752">
        <f t="shared" si="214"/>
        <v>0</v>
      </c>
      <c r="R268" s="2753">
        <f t="shared" si="214"/>
        <v>0</v>
      </c>
      <c r="S268" s="2763">
        <f t="shared" si="205"/>
        <v>0</v>
      </c>
      <c r="T268" s="2751">
        <f t="shared" ref="T268:Y268" si="215">T202-T246</f>
        <v>0</v>
      </c>
      <c r="U268" s="2752">
        <f t="shared" si="215"/>
        <v>0</v>
      </c>
      <c r="V268" s="2752">
        <f t="shared" si="215"/>
        <v>0</v>
      </c>
      <c r="W268" s="2752">
        <f t="shared" si="215"/>
        <v>0</v>
      </c>
      <c r="X268" s="2752">
        <f t="shared" si="215"/>
        <v>0</v>
      </c>
      <c r="Y268" s="2753">
        <f t="shared" si="215"/>
        <v>0</v>
      </c>
      <c r="Z268" s="1672"/>
      <c r="AA268" s="1703"/>
    </row>
    <row r="269" spans="1:28">
      <c r="A269" s="1730">
        <v>12</v>
      </c>
      <c r="B269" s="1675" t="s">
        <v>951</v>
      </c>
      <c r="C269" s="1676">
        <v>0.02</v>
      </c>
      <c r="D269" s="1624" t="s">
        <v>1007</v>
      </c>
      <c r="E269" s="2763">
        <f t="shared" si="203"/>
        <v>0</v>
      </c>
      <c r="F269" s="2751">
        <f t="shared" ref="F269:K269" si="216">F203-F247</f>
        <v>0</v>
      </c>
      <c r="G269" s="2752">
        <f t="shared" si="216"/>
        <v>0</v>
      </c>
      <c r="H269" s="2752">
        <f t="shared" si="216"/>
        <v>0</v>
      </c>
      <c r="I269" s="2752">
        <f t="shared" si="216"/>
        <v>0</v>
      </c>
      <c r="J269" s="2752">
        <f t="shared" si="216"/>
        <v>0</v>
      </c>
      <c r="K269" s="2753">
        <f t="shared" si="216"/>
        <v>0</v>
      </c>
      <c r="L269" s="2768">
        <f t="shared" si="204"/>
        <v>0</v>
      </c>
      <c r="M269" s="2769">
        <f t="shared" ref="M269:R269" si="217">M203-M247</f>
        <v>0</v>
      </c>
      <c r="N269" s="2752">
        <f t="shared" si="217"/>
        <v>0</v>
      </c>
      <c r="O269" s="2752">
        <f t="shared" si="217"/>
        <v>0</v>
      </c>
      <c r="P269" s="2752">
        <f t="shared" si="217"/>
        <v>0</v>
      </c>
      <c r="Q269" s="2752">
        <f t="shared" si="217"/>
        <v>0</v>
      </c>
      <c r="R269" s="2753">
        <f t="shared" si="217"/>
        <v>0</v>
      </c>
      <c r="S269" s="2763">
        <f t="shared" si="205"/>
        <v>0</v>
      </c>
      <c r="T269" s="2751">
        <f t="shared" ref="T269:Y269" si="218">T203-T247</f>
        <v>0</v>
      </c>
      <c r="U269" s="2752">
        <f t="shared" si="218"/>
        <v>0</v>
      </c>
      <c r="V269" s="2752">
        <f t="shared" si="218"/>
        <v>0</v>
      </c>
      <c r="W269" s="2752">
        <f t="shared" si="218"/>
        <v>0</v>
      </c>
      <c r="X269" s="2752">
        <f t="shared" si="218"/>
        <v>0</v>
      </c>
      <c r="Y269" s="2753">
        <f t="shared" si="218"/>
        <v>0</v>
      </c>
      <c r="Z269" s="1672"/>
      <c r="AA269" s="1703"/>
    </row>
    <row r="270" spans="1:28">
      <c r="A270" s="1730">
        <v>13</v>
      </c>
      <c r="B270" s="1675" t="s">
        <v>952</v>
      </c>
      <c r="C270" s="1676">
        <v>0.02</v>
      </c>
      <c r="D270" s="1624" t="s">
        <v>1008</v>
      </c>
      <c r="E270" s="2763">
        <f t="shared" si="203"/>
        <v>851.90000000000009</v>
      </c>
      <c r="F270" s="2751">
        <f t="shared" ref="F270:K270" si="219">F204-F248</f>
        <v>800</v>
      </c>
      <c r="G270" s="2752">
        <f t="shared" si="219"/>
        <v>748.09999999999991</v>
      </c>
      <c r="H270" s="2752">
        <f t="shared" si="219"/>
        <v>696.19999999999982</v>
      </c>
      <c r="I270" s="2752">
        <f t="shared" si="219"/>
        <v>644.29999999999973</v>
      </c>
      <c r="J270" s="2752">
        <f t="shared" si="219"/>
        <v>592.39999999999964</v>
      </c>
      <c r="K270" s="2753">
        <f t="shared" si="219"/>
        <v>540.49999999999955</v>
      </c>
      <c r="L270" s="2768">
        <f t="shared" si="204"/>
        <v>0</v>
      </c>
      <c r="M270" s="2769">
        <f t="shared" ref="M270:R270" si="220">M204-M248</f>
        <v>0</v>
      </c>
      <c r="N270" s="2752">
        <f t="shared" si="220"/>
        <v>0</v>
      </c>
      <c r="O270" s="2752">
        <f t="shared" si="220"/>
        <v>0</v>
      </c>
      <c r="P270" s="2752">
        <f t="shared" si="220"/>
        <v>0</v>
      </c>
      <c r="Q270" s="2752">
        <f t="shared" si="220"/>
        <v>0</v>
      </c>
      <c r="R270" s="2753">
        <f t="shared" si="220"/>
        <v>0</v>
      </c>
      <c r="S270" s="2763">
        <f t="shared" si="205"/>
        <v>0</v>
      </c>
      <c r="T270" s="2751">
        <f t="shared" ref="T270:Y270" si="221">T204-T248</f>
        <v>0</v>
      </c>
      <c r="U270" s="2752">
        <f t="shared" si="221"/>
        <v>0</v>
      </c>
      <c r="V270" s="2752">
        <f t="shared" si="221"/>
        <v>0</v>
      </c>
      <c r="W270" s="2752">
        <f t="shared" si="221"/>
        <v>0</v>
      </c>
      <c r="X270" s="2752">
        <f t="shared" si="221"/>
        <v>0</v>
      </c>
      <c r="Y270" s="2753">
        <f t="shared" si="221"/>
        <v>0</v>
      </c>
      <c r="Z270" s="1672"/>
      <c r="AA270" s="1703"/>
    </row>
    <row r="271" spans="1:28">
      <c r="A271" s="1730">
        <v>14</v>
      </c>
      <c r="B271" s="1675" t="s">
        <v>953</v>
      </c>
      <c r="C271" s="1676">
        <v>0.02</v>
      </c>
      <c r="D271" s="1624" t="s">
        <v>590</v>
      </c>
      <c r="E271" s="2763">
        <f t="shared" si="203"/>
        <v>64.099999999999994</v>
      </c>
      <c r="F271" s="2751">
        <f t="shared" ref="F271:K271" si="222">F205-F249</f>
        <v>61.399999999999991</v>
      </c>
      <c r="G271" s="2752">
        <f t="shared" si="222"/>
        <v>58.699999999999989</v>
      </c>
      <c r="H271" s="2752">
        <f t="shared" si="222"/>
        <v>55.999999999999986</v>
      </c>
      <c r="I271" s="2752">
        <f t="shared" si="222"/>
        <v>53.299999999999983</v>
      </c>
      <c r="J271" s="2752">
        <f t="shared" si="222"/>
        <v>50.59999999999998</v>
      </c>
      <c r="K271" s="2753">
        <f t="shared" si="222"/>
        <v>47.899999999999977</v>
      </c>
      <c r="L271" s="2768">
        <f t="shared" si="204"/>
        <v>0</v>
      </c>
      <c r="M271" s="2769">
        <f t="shared" ref="M271:R271" si="223">M205-M249</f>
        <v>0</v>
      </c>
      <c r="N271" s="2752">
        <f t="shared" si="223"/>
        <v>0</v>
      </c>
      <c r="O271" s="2752">
        <f t="shared" si="223"/>
        <v>0</v>
      </c>
      <c r="P271" s="2752">
        <f t="shared" si="223"/>
        <v>0</v>
      </c>
      <c r="Q271" s="2752">
        <f t="shared" si="223"/>
        <v>0</v>
      </c>
      <c r="R271" s="2753">
        <f t="shared" si="223"/>
        <v>0</v>
      </c>
      <c r="S271" s="2763">
        <f t="shared" si="205"/>
        <v>0</v>
      </c>
      <c r="T271" s="2751">
        <f t="shared" ref="T271:Y271" si="224">T205-T249</f>
        <v>0</v>
      </c>
      <c r="U271" s="2752">
        <f t="shared" si="224"/>
        <v>0</v>
      </c>
      <c r="V271" s="2752">
        <f t="shared" si="224"/>
        <v>0</v>
      </c>
      <c r="W271" s="2752">
        <f t="shared" si="224"/>
        <v>0</v>
      </c>
      <c r="X271" s="2752">
        <f t="shared" si="224"/>
        <v>0</v>
      </c>
      <c r="Y271" s="2753">
        <f t="shared" si="224"/>
        <v>0</v>
      </c>
      <c r="Z271" s="1672"/>
      <c r="AA271" s="1703"/>
    </row>
    <row r="272" spans="1:28">
      <c r="A272" s="1730">
        <v>15</v>
      </c>
      <c r="B272" s="1675" t="s">
        <v>954</v>
      </c>
      <c r="C272" s="1676">
        <v>0.02</v>
      </c>
      <c r="D272" s="1638" t="s">
        <v>591</v>
      </c>
      <c r="E272" s="2763">
        <f t="shared" si="203"/>
        <v>34.699999999999989</v>
      </c>
      <c r="F272" s="2751">
        <f t="shared" ref="F272:K272" si="225">F206-F250</f>
        <v>31.699999999999989</v>
      </c>
      <c r="G272" s="2752">
        <f t="shared" si="225"/>
        <v>28.699999999999989</v>
      </c>
      <c r="H272" s="2752">
        <f t="shared" si="225"/>
        <v>25.699999999999989</v>
      </c>
      <c r="I272" s="2752">
        <f t="shared" si="225"/>
        <v>22.699999999999989</v>
      </c>
      <c r="J272" s="2752">
        <f t="shared" si="225"/>
        <v>19.699999999999989</v>
      </c>
      <c r="K272" s="2753">
        <f t="shared" si="225"/>
        <v>16.699999999999989</v>
      </c>
      <c r="L272" s="2768">
        <f t="shared" si="204"/>
        <v>0</v>
      </c>
      <c r="M272" s="2769">
        <f t="shared" ref="M272:R272" si="226">M206-M250</f>
        <v>0</v>
      </c>
      <c r="N272" s="2752">
        <f t="shared" si="226"/>
        <v>0</v>
      </c>
      <c r="O272" s="2752">
        <f t="shared" si="226"/>
        <v>0</v>
      </c>
      <c r="P272" s="2752">
        <f t="shared" si="226"/>
        <v>0</v>
      </c>
      <c r="Q272" s="2752">
        <f t="shared" si="226"/>
        <v>0</v>
      </c>
      <c r="R272" s="2753">
        <f t="shared" si="226"/>
        <v>0</v>
      </c>
      <c r="S272" s="2763">
        <f t="shared" si="205"/>
        <v>0</v>
      </c>
      <c r="T272" s="2751">
        <f t="shared" ref="T272:Y272" si="227">T206-T250</f>
        <v>0</v>
      </c>
      <c r="U272" s="2752">
        <f t="shared" si="227"/>
        <v>0</v>
      </c>
      <c r="V272" s="2752">
        <f t="shared" si="227"/>
        <v>0</v>
      </c>
      <c r="W272" s="2752">
        <f t="shared" si="227"/>
        <v>0</v>
      </c>
      <c r="X272" s="2752">
        <f t="shared" si="227"/>
        <v>0</v>
      </c>
      <c r="Y272" s="2753">
        <f t="shared" si="227"/>
        <v>0</v>
      </c>
      <c r="Z272" s="1672"/>
      <c r="AA272" s="1703"/>
    </row>
    <row r="273" spans="1:28">
      <c r="A273" s="1730">
        <v>16</v>
      </c>
      <c r="B273" s="1675" t="s">
        <v>955</v>
      </c>
      <c r="C273" s="1676">
        <v>0.02</v>
      </c>
      <c r="D273" s="1624" t="s">
        <v>592</v>
      </c>
      <c r="E273" s="2763">
        <f t="shared" si="203"/>
        <v>18858</v>
      </c>
      <c r="F273" s="2751">
        <f t="shared" ref="F273:K273" si="228">F207-F251</f>
        <v>18358</v>
      </c>
      <c r="G273" s="2752">
        <f t="shared" si="228"/>
        <v>17858</v>
      </c>
      <c r="H273" s="2752">
        <f t="shared" si="228"/>
        <v>17358</v>
      </c>
      <c r="I273" s="2752">
        <f t="shared" si="228"/>
        <v>16858</v>
      </c>
      <c r="J273" s="2752">
        <f t="shared" si="228"/>
        <v>16358</v>
      </c>
      <c r="K273" s="2753">
        <f t="shared" si="228"/>
        <v>15858</v>
      </c>
      <c r="L273" s="2768">
        <f t="shared" si="204"/>
        <v>0</v>
      </c>
      <c r="M273" s="2769">
        <f t="shared" ref="M273:R273" si="229">M207-M251</f>
        <v>0</v>
      </c>
      <c r="N273" s="2752">
        <f t="shared" si="229"/>
        <v>0</v>
      </c>
      <c r="O273" s="2752">
        <f t="shared" si="229"/>
        <v>0</v>
      </c>
      <c r="P273" s="2752">
        <f t="shared" si="229"/>
        <v>0</v>
      </c>
      <c r="Q273" s="2752">
        <f t="shared" si="229"/>
        <v>0</v>
      </c>
      <c r="R273" s="2753">
        <f t="shared" si="229"/>
        <v>0</v>
      </c>
      <c r="S273" s="2763">
        <f t="shared" si="205"/>
        <v>0</v>
      </c>
      <c r="T273" s="2751">
        <f t="shared" ref="T273:Y273" si="230">T207-T251</f>
        <v>0</v>
      </c>
      <c r="U273" s="2752">
        <f t="shared" si="230"/>
        <v>0</v>
      </c>
      <c r="V273" s="2752">
        <f t="shared" si="230"/>
        <v>0</v>
      </c>
      <c r="W273" s="2752">
        <f t="shared" si="230"/>
        <v>0</v>
      </c>
      <c r="X273" s="2752">
        <f t="shared" si="230"/>
        <v>0</v>
      </c>
      <c r="Y273" s="2753">
        <f t="shared" si="230"/>
        <v>0</v>
      </c>
      <c r="Z273" s="1672"/>
      <c r="AA273" s="1703"/>
    </row>
    <row r="274" spans="1:28">
      <c r="A274" s="1730">
        <v>17</v>
      </c>
      <c r="B274" s="1675" t="s">
        <v>956</v>
      </c>
      <c r="C274" s="1676">
        <v>0.02</v>
      </c>
      <c r="D274" s="1626" t="s">
        <v>593</v>
      </c>
      <c r="E274" s="2763">
        <f t="shared" si="203"/>
        <v>0</v>
      </c>
      <c r="F274" s="2751">
        <f t="shared" ref="F274:K274" si="231">F208-F252</f>
        <v>0</v>
      </c>
      <c r="G274" s="2752">
        <f t="shared" si="231"/>
        <v>0</v>
      </c>
      <c r="H274" s="2752">
        <f t="shared" si="231"/>
        <v>0</v>
      </c>
      <c r="I274" s="2752">
        <f t="shared" si="231"/>
        <v>0</v>
      </c>
      <c r="J274" s="2752">
        <f t="shared" si="231"/>
        <v>0</v>
      </c>
      <c r="K274" s="2753">
        <f t="shared" si="231"/>
        <v>0</v>
      </c>
      <c r="L274" s="2768">
        <f t="shared" si="204"/>
        <v>14266</v>
      </c>
      <c r="M274" s="2769">
        <f t="shared" ref="M274:R274" si="232">M208-M252</f>
        <v>13943</v>
      </c>
      <c r="N274" s="2752">
        <f t="shared" si="232"/>
        <v>13620</v>
      </c>
      <c r="O274" s="2752">
        <f t="shared" si="232"/>
        <v>13297</v>
      </c>
      <c r="P274" s="2752">
        <f t="shared" si="232"/>
        <v>12974</v>
      </c>
      <c r="Q274" s="2752">
        <f t="shared" si="232"/>
        <v>12651</v>
      </c>
      <c r="R274" s="2753">
        <f t="shared" si="232"/>
        <v>12328</v>
      </c>
      <c r="S274" s="2763">
        <f t="shared" si="205"/>
        <v>0</v>
      </c>
      <c r="T274" s="2751">
        <f t="shared" ref="T274:Y274" si="233">T208-T252</f>
        <v>0</v>
      </c>
      <c r="U274" s="2752">
        <f t="shared" si="233"/>
        <v>0</v>
      </c>
      <c r="V274" s="2752">
        <f t="shared" si="233"/>
        <v>0</v>
      </c>
      <c r="W274" s="2752">
        <f t="shared" si="233"/>
        <v>0</v>
      </c>
      <c r="X274" s="2752">
        <f t="shared" si="233"/>
        <v>0</v>
      </c>
      <c r="Y274" s="2753">
        <f t="shared" si="233"/>
        <v>0</v>
      </c>
      <c r="Z274" s="1672"/>
      <c r="AA274" s="1703"/>
    </row>
    <row r="275" spans="1:28" ht="24">
      <c r="A275" s="1730">
        <v>18</v>
      </c>
      <c r="B275" s="1675" t="s">
        <v>957</v>
      </c>
      <c r="C275" s="1676">
        <v>0.04</v>
      </c>
      <c r="D275" s="1626" t="s">
        <v>594</v>
      </c>
      <c r="E275" s="2763">
        <f t="shared" si="203"/>
        <v>0</v>
      </c>
      <c r="F275" s="2751">
        <f t="shared" ref="F275:K275" si="234">F209-F253</f>
        <v>0</v>
      </c>
      <c r="G275" s="2752">
        <f t="shared" si="234"/>
        <v>0</v>
      </c>
      <c r="H275" s="2752">
        <f t="shared" si="234"/>
        <v>0</v>
      </c>
      <c r="I275" s="2752">
        <f t="shared" si="234"/>
        <v>0</v>
      </c>
      <c r="J275" s="2752">
        <f t="shared" si="234"/>
        <v>0</v>
      </c>
      <c r="K275" s="2753">
        <f t="shared" si="234"/>
        <v>0</v>
      </c>
      <c r="L275" s="2768">
        <f t="shared" si="204"/>
        <v>0</v>
      </c>
      <c r="M275" s="2769">
        <f t="shared" ref="M275:R275" si="235">M209-M253</f>
        <v>0</v>
      </c>
      <c r="N275" s="2752">
        <f t="shared" si="235"/>
        <v>0</v>
      </c>
      <c r="O275" s="2752">
        <f t="shared" si="235"/>
        <v>0</v>
      </c>
      <c r="P275" s="2752">
        <f t="shared" si="235"/>
        <v>0</v>
      </c>
      <c r="Q275" s="2752">
        <f t="shared" si="235"/>
        <v>0</v>
      </c>
      <c r="R275" s="2753">
        <f t="shared" si="235"/>
        <v>0</v>
      </c>
      <c r="S275" s="2763">
        <f t="shared" si="205"/>
        <v>24645</v>
      </c>
      <c r="T275" s="2751">
        <f t="shared" ref="T275:Y275" si="236">T209-T253</f>
        <v>23895</v>
      </c>
      <c r="U275" s="2752">
        <f t="shared" si="236"/>
        <v>23145</v>
      </c>
      <c r="V275" s="2752">
        <f t="shared" si="236"/>
        <v>22395</v>
      </c>
      <c r="W275" s="2752">
        <f t="shared" si="236"/>
        <v>21645</v>
      </c>
      <c r="X275" s="2752">
        <f t="shared" si="236"/>
        <v>20895</v>
      </c>
      <c r="Y275" s="2753">
        <f t="shared" si="236"/>
        <v>20145</v>
      </c>
      <c r="Z275" s="1672"/>
      <c r="AA275" s="1703"/>
    </row>
    <row r="276" spans="1:28" ht="15.75" customHeight="1">
      <c r="A276" s="1730">
        <v>19</v>
      </c>
      <c r="B276" s="1675" t="s">
        <v>958</v>
      </c>
      <c r="C276" s="1676">
        <v>0.04</v>
      </c>
      <c r="D276" s="1626" t="s">
        <v>595</v>
      </c>
      <c r="E276" s="2763">
        <f t="shared" si="203"/>
        <v>95</v>
      </c>
      <c r="F276" s="2751">
        <f t="shared" ref="F276:K276" si="237">F210-F254</f>
        <v>87</v>
      </c>
      <c r="G276" s="2752">
        <f t="shared" si="237"/>
        <v>79</v>
      </c>
      <c r="H276" s="2752">
        <f t="shared" si="237"/>
        <v>71</v>
      </c>
      <c r="I276" s="2752">
        <f t="shared" si="237"/>
        <v>63</v>
      </c>
      <c r="J276" s="2752">
        <f t="shared" si="237"/>
        <v>55</v>
      </c>
      <c r="K276" s="2753">
        <f t="shared" si="237"/>
        <v>47</v>
      </c>
      <c r="L276" s="2768">
        <f t="shared" si="204"/>
        <v>0</v>
      </c>
      <c r="M276" s="2769">
        <f t="shared" ref="M276:R276" si="238">M210-M254</f>
        <v>0</v>
      </c>
      <c r="N276" s="2752">
        <f t="shared" si="238"/>
        <v>0</v>
      </c>
      <c r="O276" s="2752">
        <f t="shared" si="238"/>
        <v>0</v>
      </c>
      <c r="P276" s="2752">
        <f t="shared" si="238"/>
        <v>0</v>
      </c>
      <c r="Q276" s="2752">
        <f t="shared" si="238"/>
        <v>0</v>
      </c>
      <c r="R276" s="2753">
        <f t="shared" si="238"/>
        <v>0</v>
      </c>
      <c r="S276" s="2763">
        <f t="shared" si="205"/>
        <v>0</v>
      </c>
      <c r="T276" s="2751">
        <f t="shared" ref="T276:Y276" si="239">T210-T254</f>
        <v>0</v>
      </c>
      <c r="U276" s="2752">
        <f t="shared" si="239"/>
        <v>0</v>
      </c>
      <c r="V276" s="2752">
        <f t="shared" si="239"/>
        <v>0</v>
      </c>
      <c r="W276" s="2752">
        <f t="shared" si="239"/>
        <v>0</v>
      </c>
      <c r="X276" s="2752">
        <f t="shared" si="239"/>
        <v>0</v>
      </c>
      <c r="Y276" s="2753">
        <f t="shared" si="239"/>
        <v>0</v>
      </c>
      <c r="Z276" s="1672"/>
      <c r="AA276" s="1703"/>
    </row>
    <row r="277" spans="1:28" ht="15.75" customHeight="1">
      <c r="A277" s="1730">
        <v>20</v>
      </c>
      <c r="B277" s="1675" t="s">
        <v>970</v>
      </c>
      <c r="C277" s="1676">
        <v>0.04</v>
      </c>
      <c r="D277" s="1728" t="s">
        <v>606</v>
      </c>
      <c r="E277" s="2763">
        <f t="shared" si="203"/>
        <v>232</v>
      </c>
      <c r="F277" s="2751">
        <f t="shared" ref="F277:L278" si="240">F211-F255</f>
        <v>229</v>
      </c>
      <c r="G277" s="2752">
        <f t="shared" si="240"/>
        <v>226</v>
      </c>
      <c r="H277" s="2752">
        <f t="shared" si="240"/>
        <v>223</v>
      </c>
      <c r="I277" s="2752">
        <f t="shared" si="240"/>
        <v>220</v>
      </c>
      <c r="J277" s="2752">
        <f t="shared" si="240"/>
        <v>217</v>
      </c>
      <c r="K277" s="2753">
        <f t="shared" si="240"/>
        <v>214</v>
      </c>
      <c r="L277" s="2768">
        <f t="shared" si="240"/>
        <v>0</v>
      </c>
      <c r="M277" s="2769">
        <f t="shared" ref="M277:S278" si="241">M211-M255</f>
        <v>0</v>
      </c>
      <c r="N277" s="2752">
        <f t="shared" si="241"/>
        <v>0</v>
      </c>
      <c r="O277" s="2752">
        <f t="shared" si="241"/>
        <v>0</v>
      </c>
      <c r="P277" s="2752">
        <f t="shared" si="241"/>
        <v>0</v>
      </c>
      <c r="Q277" s="2752">
        <f t="shared" si="241"/>
        <v>0</v>
      </c>
      <c r="R277" s="2753">
        <f t="shared" si="241"/>
        <v>0</v>
      </c>
      <c r="S277" s="2763">
        <f t="shared" si="241"/>
        <v>0</v>
      </c>
      <c r="T277" s="2751">
        <f t="shared" ref="T277:Y277" si="242">T211-T255</f>
        <v>0</v>
      </c>
      <c r="U277" s="2752">
        <f t="shared" si="242"/>
        <v>0</v>
      </c>
      <c r="V277" s="2752">
        <f t="shared" si="242"/>
        <v>0</v>
      </c>
      <c r="W277" s="2752">
        <f t="shared" si="242"/>
        <v>0</v>
      </c>
      <c r="X277" s="2752">
        <f t="shared" si="242"/>
        <v>0</v>
      </c>
      <c r="Y277" s="2753">
        <f t="shared" si="242"/>
        <v>0</v>
      </c>
      <c r="Z277" s="1672"/>
      <c r="AA277" s="1703"/>
    </row>
    <row r="278" spans="1:28" ht="24.75" thickBot="1">
      <c r="A278" s="1730">
        <v>21</v>
      </c>
      <c r="B278" s="1675" t="s">
        <v>960</v>
      </c>
      <c r="C278" s="1680">
        <v>0.2</v>
      </c>
      <c r="D278" s="1626" t="s">
        <v>911</v>
      </c>
      <c r="E278" s="2763">
        <f t="shared" si="203"/>
        <v>7.7349999999999994</v>
      </c>
      <c r="F278" s="2751">
        <f t="shared" ref="F278:K278" si="243">F212-F256</f>
        <v>4.7349999999999994</v>
      </c>
      <c r="G278" s="2752">
        <f t="shared" si="243"/>
        <v>1.7349999999999994</v>
      </c>
      <c r="H278" s="2752">
        <f t="shared" si="243"/>
        <v>-0.26500000000000057</v>
      </c>
      <c r="I278" s="2752">
        <f t="shared" si="243"/>
        <v>-0.26500000000000057</v>
      </c>
      <c r="J278" s="2752">
        <f t="shared" si="243"/>
        <v>-0.26500000000000057</v>
      </c>
      <c r="K278" s="2753">
        <f t="shared" si="243"/>
        <v>-0.26500000000000057</v>
      </c>
      <c r="L278" s="2768">
        <f t="shared" si="240"/>
        <v>0</v>
      </c>
      <c r="M278" s="2770">
        <f t="shared" ref="M278:R278" si="244">M212-M256</f>
        <v>0</v>
      </c>
      <c r="N278" s="2771">
        <f t="shared" si="244"/>
        <v>0</v>
      </c>
      <c r="O278" s="2771">
        <f t="shared" si="244"/>
        <v>0</v>
      </c>
      <c r="P278" s="2771">
        <f t="shared" si="244"/>
        <v>0</v>
      </c>
      <c r="Q278" s="2771">
        <f t="shared" si="244"/>
        <v>0</v>
      </c>
      <c r="R278" s="2772">
        <f t="shared" si="244"/>
        <v>0</v>
      </c>
      <c r="S278" s="2763">
        <f t="shared" si="241"/>
        <v>2</v>
      </c>
      <c r="T278" s="2773">
        <f t="shared" ref="T278:Y278" si="245">T212-T256</f>
        <v>1</v>
      </c>
      <c r="U278" s="2771">
        <f t="shared" si="245"/>
        <v>0</v>
      </c>
      <c r="V278" s="2771">
        <f t="shared" si="245"/>
        <v>0</v>
      </c>
      <c r="W278" s="2771">
        <f t="shared" si="245"/>
        <v>0</v>
      </c>
      <c r="X278" s="2771">
        <f t="shared" si="245"/>
        <v>0</v>
      </c>
      <c r="Y278" s="2772">
        <f t="shared" si="245"/>
        <v>0</v>
      </c>
      <c r="Z278" s="1672"/>
      <c r="AA278" s="1703"/>
    </row>
    <row r="279" spans="1:28" ht="18" customHeight="1" thickBot="1">
      <c r="A279" s="1733"/>
      <c r="B279" s="1733"/>
      <c r="C279" s="1733"/>
      <c r="D279" s="1734" t="s">
        <v>761</v>
      </c>
      <c r="E279" s="2764">
        <f>E9+E110+E191</f>
        <v>44511.834999999999</v>
      </c>
      <c r="F279" s="2758">
        <f t="shared" ref="F279:Y279" si="246">F9+F110+F191</f>
        <v>48055.5387037037</v>
      </c>
      <c r="G279" s="2759">
        <f t="shared" si="246"/>
        <v>49088.243224100617</v>
      </c>
      <c r="H279" s="2759">
        <f t="shared" si="246"/>
        <v>50156.104255619241</v>
      </c>
      <c r="I279" s="2759">
        <f t="shared" si="246"/>
        <v>51192.617049887413</v>
      </c>
      <c r="J279" s="2759">
        <f t="shared" si="246"/>
        <v>52191.783531574423</v>
      </c>
      <c r="K279" s="2760">
        <f t="shared" si="246"/>
        <v>53155.123154215929</v>
      </c>
      <c r="L279" s="2764">
        <f t="shared" si="246"/>
        <v>17360</v>
      </c>
      <c r="M279" s="2758">
        <f t="shared" si="246"/>
        <v>17422.30936819172</v>
      </c>
      <c r="N279" s="2759">
        <f t="shared" si="246"/>
        <v>19286.400878665812</v>
      </c>
      <c r="O279" s="2759">
        <f t="shared" si="246"/>
        <v>19330.797726803346</v>
      </c>
      <c r="P279" s="2759">
        <f t="shared" si="246"/>
        <v>19419.747573272129</v>
      </c>
      <c r="Q279" s="2759">
        <f t="shared" si="246"/>
        <v>19496.996185924738</v>
      </c>
      <c r="R279" s="2760">
        <f t="shared" si="246"/>
        <v>19552.673072717189</v>
      </c>
      <c r="S279" s="2764">
        <f t="shared" si="246"/>
        <v>29411.5</v>
      </c>
      <c r="T279" s="2758">
        <f t="shared" si="246"/>
        <v>29445.486928104576</v>
      </c>
      <c r="U279" s="2759">
        <f t="shared" si="246"/>
        <v>29509.690897233573</v>
      </c>
      <c r="V279" s="2759">
        <f t="shared" si="246"/>
        <v>30028.433017577412</v>
      </c>
      <c r="W279" s="2759">
        <f t="shared" si="246"/>
        <v>30109.970376840462</v>
      </c>
      <c r="X279" s="2759">
        <f t="shared" si="246"/>
        <v>30174.555282500838</v>
      </c>
      <c r="Y279" s="2774">
        <f t="shared" si="246"/>
        <v>30253.538773066877</v>
      </c>
      <c r="Z279" s="1718"/>
      <c r="AA279" s="1702"/>
      <c r="AB279" s="1664"/>
    </row>
    <row r="280" spans="1:28" ht="18" customHeight="1" thickBot="1">
      <c r="A280" s="1733"/>
      <c r="B280" s="1733"/>
      <c r="C280" s="1733"/>
      <c r="D280" s="1734" t="s">
        <v>762</v>
      </c>
      <c r="E280" s="2764">
        <f t="shared" ref="E280:Y280" si="247">E34+E130+E213</f>
        <v>1480.6</v>
      </c>
      <c r="F280" s="2758">
        <f t="shared" si="247"/>
        <v>1646.1325186353213</v>
      </c>
      <c r="G280" s="2759">
        <f t="shared" si="247"/>
        <v>1777.6991211506784</v>
      </c>
      <c r="H280" s="2759">
        <f t="shared" si="247"/>
        <v>1808.6255828088633</v>
      </c>
      <c r="I280" s="2759">
        <f t="shared" si="247"/>
        <v>1828.9153121110398</v>
      </c>
      <c r="J280" s="2759">
        <f t="shared" si="247"/>
        <v>1854.0593764908676</v>
      </c>
      <c r="K280" s="2760">
        <f t="shared" si="247"/>
        <v>1858.7277784295511</v>
      </c>
      <c r="L280" s="2764">
        <f t="shared" si="247"/>
        <v>390</v>
      </c>
      <c r="M280" s="2758">
        <f t="shared" si="247"/>
        <v>390.05164134174311</v>
      </c>
      <c r="N280" s="2759">
        <f t="shared" si="247"/>
        <v>478.01350969458878</v>
      </c>
      <c r="O280" s="2759">
        <f t="shared" si="247"/>
        <v>567.36580610397448</v>
      </c>
      <c r="P280" s="2759">
        <f t="shared" si="247"/>
        <v>569.01868404179083</v>
      </c>
      <c r="Q280" s="2759">
        <f t="shared" si="247"/>
        <v>570.22670868664352</v>
      </c>
      <c r="R280" s="2760">
        <f t="shared" si="247"/>
        <v>574.20122468266766</v>
      </c>
      <c r="S280" s="2764">
        <f t="shared" si="247"/>
        <v>806.5</v>
      </c>
      <c r="T280" s="2758">
        <f t="shared" si="247"/>
        <v>815.46084002293583</v>
      </c>
      <c r="U280" s="2759">
        <f t="shared" si="247"/>
        <v>816.00736915473328</v>
      </c>
      <c r="V280" s="2759">
        <f t="shared" si="247"/>
        <v>835.29861108716273</v>
      </c>
      <c r="W280" s="2759">
        <f t="shared" si="247"/>
        <v>856.40600384716936</v>
      </c>
      <c r="X280" s="2759">
        <f t="shared" si="247"/>
        <v>854.12391482248881</v>
      </c>
      <c r="Y280" s="2774">
        <f t="shared" si="247"/>
        <v>853.86099688778086</v>
      </c>
      <c r="Z280" s="1718"/>
      <c r="AA280" s="1702"/>
      <c r="AB280" s="1664"/>
    </row>
    <row r="281" spans="1:28" ht="18" customHeight="1" thickBot="1">
      <c r="A281" s="1733"/>
      <c r="B281" s="1733"/>
      <c r="C281" s="1733"/>
      <c r="D281" s="1734" t="s">
        <v>763</v>
      </c>
      <c r="E281" s="2764">
        <f t="shared" ref="E281:Y281" si="248">E59+E150+E235</f>
        <v>16126.9</v>
      </c>
      <c r="F281" s="2758">
        <f t="shared" si="248"/>
        <v>17773.032518635326</v>
      </c>
      <c r="G281" s="2759">
        <f t="shared" si="248"/>
        <v>19550.731639786001</v>
      </c>
      <c r="H281" s="2759">
        <f t="shared" si="248"/>
        <v>21359.357222594863</v>
      </c>
      <c r="I281" s="2759">
        <f t="shared" si="248"/>
        <v>23188.272534705906</v>
      </c>
      <c r="J281" s="2759">
        <f t="shared" si="248"/>
        <v>25042.331911196765</v>
      </c>
      <c r="K281" s="2760">
        <f t="shared" si="248"/>
        <v>26901.05968962632</v>
      </c>
      <c r="L281" s="2764">
        <f t="shared" si="248"/>
        <v>2556</v>
      </c>
      <c r="M281" s="2758">
        <f t="shared" si="248"/>
        <v>2946.0516413417431</v>
      </c>
      <c r="N281" s="2759">
        <f t="shared" si="248"/>
        <v>3424.0651510363318</v>
      </c>
      <c r="O281" s="2759">
        <f t="shared" si="248"/>
        <v>3991.4309571403064</v>
      </c>
      <c r="P281" s="2759">
        <f t="shared" si="248"/>
        <v>4560.4496411820983</v>
      </c>
      <c r="Q281" s="2759">
        <f t="shared" si="248"/>
        <v>5130.6763498687405</v>
      </c>
      <c r="R281" s="2760">
        <f t="shared" si="248"/>
        <v>5704.8775745514085</v>
      </c>
      <c r="S281" s="2764">
        <f t="shared" si="248"/>
        <v>4004.23</v>
      </c>
      <c r="T281" s="2758">
        <f t="shared" si="248"/>
        <v>4819.6908400229358</v>
      </c>
      <c r="U281" s="2759">
        <f t="shared" si="248"/>
        <v>5635.6982091776681</v>
      </c>
      <c r="V281" s="2759">
        <f t="shared" si="248"/>
        <v>6470.9968202648315</v>
      </c>
      <c r="W281" s="2759">
        <f t="shared" si="248"/>
        <v>7327.4028241120004</v>
      </c>
      <c r="X281" s="2759">
        <f t="shared" si="248"/>
        <v>8181.526738934489</v>
      </c>
      <c r="Y281" s="2774">
        <f t="shared" si="248"/>
        <v>9035.3877358222708</v>
      </c>
      <c r="Z281" s="1718"/>
      <c r="AA281" s="1702"/>
      <c r="AB281" s="1664"/>
    </row>
    <row r="282" spans="1:28" ht="18" customHeight="1" thickBot="1">
      <c r="A282" s="1733"/>
      <c r="B282" s="1733"/>
      <c r="C282" s="1733"/>
      <c r="D282" s="1734" t="s">
        <v>764</v>
      </c>
      <c r="E282" s="2764">
        <f t="shared" ref="E282:Y282" si="249">E84+E170+E257</f>
        <v>28384.935000000001</v>
      </c>
      <c r="F282" s="2758">
        <f>F84+F170+F257</f>
        <v>30282.506185068381</v>
      </c>
      <c r="G282" s="2759">
        <f t="shared" si="249"/>
        <v>29537.51158431462</v>
      </c>
      <c r="H282" s="2759">
        <f t="shared" si="249"/>
        <v>28796.747033024381</v>
      </c>
      <c r="I282" s="2759">
        <f t="shared" si="249"/>
        <v>28004.34451518151</v>
      </c>
      <c r="J282" s="2759">
        <f t="shared" si="249"/>
        <v>27149.451620377655</v>
      </c>
      <c r="K282" s="2760">
        <f t="shared" si="249"/>
        <v>26254.063464589613</v>
      </c>
      <c r="L282" s="2764">
        <f t="shared" si="249"/>
        <v>14804</v>
      </c>
      <c r="M282" s="2758">
        <f t="shared" si="249"/>
        <v>14476.257726849977</v>
      </c>
      <c r="N282" s="2759">
        <f t="shared" si="249"/>
        <v>15862.335727629481</v>
      </c>
      <c r="O282" s="2759">
        <f t="shared" si="249"/>
        <v>15339.36676966304</v>
      </c>
      <c r="P282" s="2759">
        <f t="shared" si="249"/>
        <v>14859.297932090032</v>
      </c>
      <c r="Q282" s="2759">
        <f t="shared" si="249"/>
        <v>14366.319836055996</v>
      </c>
      <c r="R282" s="2760">
        <f t="shared" si="249"/>
        <v>13847.795498165782</v>
      </c>
      <c r="S282" s="2764">
        <f t="shared" si="249"/>
        <v>25407.27</v>
      </c>
      <c r="T282" s="2758">
        <f t="shared" si="249"/>
        <v>24625.796088081639</v>
      </c>
      <c r="U282" s="2759">
        <f t="shared" si="249"/>
        <v>23873.992688055903</v>
      </c>
      <c r="V282" s="2759">
        <f t="shared" si="249"/>
        <v>23557.436197312581</v>
      </c>
      <c r="W282" s="2759">
        <f t="shared" si="249"/>
        <v>22782.567552728462</v>
      </c>
      <c r="X282" s="2759">
        <f t="shared" si="249"/>
        <v>21993.02854356635</v>
      </c>
      <c r="Y282" s="2774">
        <f t="shared" si="249"/>
        <v>21218.151037244606</v>
      </c>
      <c r="Z282" s="1718"/>
      <c r="AA282" s="1735"/>
      <c r="AB282" s="1664"/>
    </row>
    <row r="283" spans="1:28" ht="13.5" thickBot="1">
      <c r="A283" s="1621"/>
      <c r="B283" s="285"/>
      <c r="C283" s="285"/>
      <c r="D283" s="286"/>
      <c r="E283" s="2765"/>
      <c r="F283" s="2761"/>
      <c r="G283" s="2761"/>
      <c r="H283" s="2761"/>
      <c r="I283" s="2761"/>
      <c r="J283" s="2761"/>
      <c r="K283" s="2761"/>
      <c r="L283" s="2765"/>
      <c r="M283" s="2761"/>
      <c r="N283" s="2761"/>
      <c r="O283" s="2761"/>
      <c r="P283" s="2761"/>
      <c r="Q283" s="2761"/>
      <c r="R283" s="2761"/>
      <c r="S283" s="2765"/>
      <c r="T283" s="2761"/>
      <c r="U283" s="2761"/>
      <c r="V283" s="2761"/>
      <c r="W283" s="2761"/>
      <c r="X283" s="2761"/>
      <c r="Y283" s="2761"/>
    </row>
    <row r="284" spans="1:28" ht="13.5" thickBot="1">
      <c r="A284" s="1738"/>
      <c r="B284" s="1739"/>
      <c r="C284" s="1739"/>
      <c r="D284" s="2229" t="s">
        <v>1482</v>
      </c>
      <c r="E284" s="2230">
        <f>E279-E281-E282</f>
        <v>0</v>
      </c>
      <c r="F284" s="2230">
        <f t="shared" ref="F284:Y284" si="250">F279-F281-F282</f>
        <v>0</v>
      </c>
      <c r="G284" s="2230">
        <f t="shared" si="250"/>
        <v>0</v>
      </c>
      <c r="H284" s="2230">
        <f t="shared" si="250"/>
        <v>0</v>
      </c>
      <c r="I284" s="2230">
        <f t="shared" si="250"/>
        <v>0</v>
      </c>
      <c r="J284" s="2230">
        <f t="shared" si="250"/>
        <v>0</v>
      </c>
      <c r="K284" s="2230">
        <f t="shared" si="250"/>
        <v>0</v>
      </c>
      <c r="L284" s="2230">
        <f t="shared" si="250"/>
        <v>0</v>
      </c>
      <c r="M284" s="2230">
        <f t="shared" si="250"/>
        <v>0</v>
      </c>
      <c r="N284" s="2230">
        <f t="shared" si="250"/>
        <v>0</v>
      </c>
      <c r="O284" s="2230">
        <f t="shared" si="250"/>
        <v>0</v>
      </c>
      <c r="P284" s="2230">
        <f t="shared" si="250"/>
        <v>0</v>
      </c>
      <c r="Q284" s="2230">
        <f t="shared" si="250"/>
        <v>0</v>
      </c>
      <c r="R284" s="2230">
        <f t="shared" si="250"/>
        <v>0</v>
      </c>
      <c r="S284" s="2230">
        <f t="shared" si="250"/>
        <v>0</v>
      </c>
      <c r="T284" s="2230">
        <f t="shared" si="250"/>
        <v>0</v>
      </c>
      <c r="U284" s="2230">
        <f t="shared" si="250"/>
        <v>0</v>
      </c>
      <c r="V284" s="2230">
        <f t="shared" si="250"/>
        <v>0</v>
      </c>
      <c r="W284" s="2230">
        <f t="shared" si="250"/>
        <v>0</v>
      </c>
      <c r="X284" s="2230">
        <f t="shared" si="250"/>
        <v>0</v>
      </c>
      <c r="Y284" s="2230">
        <f t="shared" si="250"/>
        <v>0</v>
      </c>
    </row>
    <row r="285" spans="1:28">
      <c r="A285" s="1621"/>
      <c r="B285" s="285"/>
      <c r="C285" s="285"/>
      <c r="D285" s="286"/>
      <c r="E285" s="1736"/>
      <c r="F285" s="1737"/>
      <c r="G285" s="1737"/>
      <c r="H285" s="1737"/>
      <c r="I285" s="1737"/>
      <c r="J285" s="1737"/>
      <c r="K285" s="1737"/>
      <c r="L285" s="1736"/>
      <c r="M285" s="1737"/>
      <c r="N285" s="1737"/>
      <c r="O285" s="1737"/>
      <c r="P285" s="1737"/>
      <c r="Q285" s="1737"/>
      <c r="R285" s="1737"/>
      <c r="S285" s="1736"/>
      <c r="T285" s="1737"/>
      <c r="U285" s="1737"/>
      <c r="V285" s="1737"/>
      <c r="W285" s="1737"/>
      <c r="X285" s="1737"/>
      <c r="Y285" s="1737"/>
    </row>
    <row r="286" spans="1:28">
      <c r="A286" s="1738"/>
      <c r="B286" s="1739"/>
      <c r="C286" s="287" t="str">
        <f>'10. Финансиране на ИП'!B71</f>
        <v>Дата: 27.06.2016г.</v>
      </c>
      <c r="E286" s="1740"/>
      <c r="F286" s="1741"/>
      <c r="G286" s="1741"/>
      <c r="H286" s="1741"/>
      <c r="I286" s="1741"/>
      <c r="J286" s="1741"/>
      <c r="K286" s="1742"/>
      <c r="M286" s="1742"/>
      <c r="N286" s="1641"/>
      <c r="O286" s="1743"/>
      <c r="P286" s="289" t="str">
        <f>'10. Финансиране на ИП'!F72</f>
        <v>Главен счетоводител:</v>
      </c>
      <c r="Q286" s="219" t="s">
        <v>262</v>
      </c>
      <c r="R286" s="1745"/>
      <c r="S286" s="1746"/>
    </row>
    <row r="287" spans="1:28">
      <c r="A287" s="1738"/>
      <c r="B287" s="1739"/>
      <c r="C287" s="1739"/>
      <c r="D287" s="1739"/>
      <c r="E287" s="1738"/>
      <c r="F287" s="1739"/>
      <c r="G287" s="1739"/>
      <c r="H287" s="1739"/>
      <c r="I287" s="1739"/>
      <c r="J287" s="1739"/>
      <c r="O287" s="1743"/>
      <c r="P287" s="1747"/>
      <c r="Q287" s="1748"/>
      <c r="R287" s="1749" t="s">
        <v>5</v>
      </c>
      <c r="S287" s="1746"/>
    </row>
    <row r="288" spans="1:28">
      <c r="A288" s="1738"/>
      <c r="B288" s="1739"/>
      <c r="C288" s="1739"/>
      <c r="D288" s="1739"/>
      <c r="E288" s="1738"/>
      <c r="F288" s="1739"/>
      <c r="G288" s="1739"/>
      <c r="H288" s="1739"/>
      <c r="I288" s="1739"/>
      <c r="J288" s="1739"/>
      <c r="O288" s="1743"/>
      <c r="P288" s="1747"/>
      <c r="Q288" s="1748"/>
      <c r="R288" s="1749"/>
      <c r="S288" s="1746"/>
    </row>
    <row r="289" spans="1:19">
      <c r="A289" s="1738"/>
      <c r="B289" s="1739"/>
      <c r="C289" s="1739"/>
      <c r="D289" s="1739"/>
      <c r="E289" s="1738"/>
      <c r="F289" s="1739"/>
      <c r="G289" s="1739"/>
      <c r="H289" s="1739"/>
      <c r="I289" s="1739"/>
      <c r="J289" s="1739"/>
      <c r="O289" s="1743"/>
      <c r="P289" s="1747"/>
      <c r="Q289" s="1748"/>
      <c r="R289" s="1749"/>
      <c r="S289" s="1746"/>
    </row>
    <row r="290" spans="1:19">
      <c r="A290" s="1738"/>
      <c r="B290" s="1739"/>
      <c r="C290" s="1739"/>
      <c r="D290" s="1739"/>
      <c r="E290" s="1738"/>
      <c r="F290" s="1739"/>
      <c r="G290" s="1739"/>
      <c r="H290" s="1739"/>
      <c r="I290" s="1739"/>
      <c r="J290" s="1739"/>
      <c r="O290" s="292" t="str">
        <f>'10. Финансиране на ИП'!F76</f>
        <v>Управител:</v>
      </c>
      <c r="Q290" s="219" t="s">
        <v>262</v>
      </c>
      <c r="R290" s="1744"/>
      <c r="S290" s="1746"/>
    </row>
    <row r="291" spans="1:19">
      <c r="A291" s="1738"/>
      <c r="B291" s="1739"/>
      <c r="C291" s="1739"/>
      <c r="D291" s="1739"/>
      <c r="E291" s="1738"/>
      <c r="F291" s="1739"/>
      <c r="G291" s="1739"/>
      <c r="H291" s="1739"/>
      <c r="I291" s="1739"/>
      <c r="J291" s="1739"/>
      <c r="O291" s="1743"/>
      <c r="P291" s="1750"/>
      <c r="Q291" s="1748"/>
      <c r="R291" s="291" t="s">
        <v>6</v>
      </c>
      <c r="S291" s="1751"/>
    </row>
    <row r="292" spans="1:19">
      <c r="O292" s="1748"/>
      <c r="P292" s="1748"/>
      <c r="Q292" s="1748"/>
      <c r="R292" s="1748"/>
      <c r="S292" s="1746"/>
    </row>
    <row r="293" spans="1:19">
      <c r="A293" s="3497" t="s">
        <v>247</v>
      </c>
      <c r="B293" s="3497"/>
      <c r="C293" s="3497"/>
      <c r="D293" s="3497"/>
      <c r="E293" s="3497"/>
      <c r="F293" s="3497"/>
      <c r="G293" s="1752"/>
      <c r="H293" s="1752"/>
      <c r="I293" s="1752"/>
      <c r="J293" s="1752"/>
    </row>
    <row r="294" spans="1:19">
      <c r="A294" s="3492" t="s">
        <v>248</v>
      </c>
      <c r="B294" s="3492"/>
      <c r="C294" s="3492"/>
      <c r="D294" s="3492"/>
      <c r="E294" s="3492"/>
      <c r="F294" s="3492"/>
      <c r="G294" s="1752"/>
      <c r="H294" s="1752"/>
      <c r="I294" s="1752"/>
      <c r="J294" s="1752"/>
      <c r="L294" s="1640"/>
    </row>
    <row r="295" spans="1:19" ht="26.25" customHeight="1">
      <c r="A295" s="3492" t="s">
        <v>1443</v>
      </c>
      <c r="B295" s="3492"/>
      <c r="C295" s="3492"/>
      <c r="D295" s="3492"/>
      <c r="E295" s="3492"/>
      <c r="F295" s="3492"/>
      <c r="G295" s="3492"/>
      <c r="H295" s="3492"/>
      <c r="I295" s="3492"/>
      <c r="J295" s="3492"/>
      <c r="K295" s="3492"/>
      <c r="L295" s="3492"/>
      <c r="M295" s="3492"/>
      <c r="N295" s="3492"/>
      <c r="O295" s="3492"/>
      <c r="P295" s="3492"/>
      <c r="Q295" s="1648"/>
    </row>
    <row r="296" spans="1:19" ht="26.25" customHeight="1">
      <c r="A296" s="3493" t="s">
        <v>1479</v>
      </c>
      <c r="B296" s="3493"/>
      <c r="C296" s="3493"/>
      <c r="D296" s="3493"/>
      <c r="E296" s="3493"/>
      <c r="F296" s="3493"/>
      <c r="G296" s="3493"/>
      <c r="H296" s="3493"/>
      <c r="I296" s="3493"/>
      <c r="J296" s="3493"/>
      <c r="K296" s="3493"/>
      <c r="L296" s="3493"/>
      <c r="M296" s="3493"/>
      <c r="N296" s="3493"/>
      <c r="O296" s="3493"/>
      <c r="P296" s="3493"/>
    </row>
    <row r="297" spans="1:19" ht="53.25" customHeight="1">
      <c r="A297" s="3494" t="s">
        <v>1469</v>
      </c>
      <c r="B297" s="3494"/>
      <c r="C297" s="3494"/>
      <c r="D297" s="3494"/>
      <c r="E297" s="3494"/>
      <c r="F297" s="3494"/>
      <c r="G297" s="3494"/>
      <c r="H297" s="3494"/>
      <c r="I297" s="3494"/>
      <c r="J297" s="3494"/>
      <c r="K297" s="3494"/>
      <c r="L297" s="3494"/>
      <c r="M297" s="3494"/>
      <c r="N297" s="3494"/>
      <c r="O297" s="3494"/>
      <c r="P297" s="3494"/>
    </row>
    <row r="298" spans="1:19" ht="30" customHeight="1">
      <c r="A298" s="3491" t="s">
        <v>1493</v>
      </c>
      <c r="B298" s="3491"/>
      <c r="C298" s="3491"/>
      <c r="D298" s="3491"/>
      <c r="E298" s="3491"/>
      <c r="F298" s="3491"/>
      <c r="G298" s="3491"/>
      <c r="H298" s="3491"/>
      <c r="I298" s="3491"/>
      <c r="J298" s="3491"/>
      <c r="K298" s="3491"/>
      <c r="L298" s="3491"/>
      <c r="M298" s="3491"/>
      <c r="N298" s="3491"/>
      <c r="O298" s="3491"/>
      <c r="P298" s="3491"/>
    </row>
    <row r="299" spans="1:19">
      <c r="A299" s="3087" t="s">
        <v>1487</v>
      </c>
      <c r="B299" s="181"/>
      <c r="C299" s="181"/>
      <c r="D299" s="181"/>
      <c r="E299" s="181"/>
      <c r="F299" s="181"/>
      <c r="G299" s="181"/>
      <c r="H299" s="181"/>
      <c r="I299" s="181"/>
      <c r="J299" s="181"/>
      <c r="K299" s="181"/>
    </row>
  </sheetData>
  <sheetProtection password="C6DB" sheet="1" objects="1" scenarios="1" formatCells="0" formatColumns="0" formatRows="0"/>
  <mergeCells count="17">
    <mergeCell ref="A3:Y3"/>
    <mergeCell ref="A4:Y4"/>
    <mergeCell ref="A2:Y2"/>
    <mergeCell ref="A6:A7"/>
    <mergeCell ref="D6:D7"/>
    <mergeCell ref="E6:K6"/>
    <mergeCell ref="L6:R6"/>
    <mergeCell ref="S6:Y6"/>
    <mergeCell ref="B6:B7"/>
    <mergeCell ref="C6:C7"/>
    <mergeCell ref="A298:P298"/>
    <mergeCell ref="A295:P295"/>
    <mergeCell ref="A296:P296"/>
    <mergeCell ref="A297:P297"/>
    <mergeCell ref="AA6:AA7"/>
    <mergeCell ref="A293:F293"/>
    <mergeCell ref="A294:F294"/>
  </mergeCells>
  <printOptions horizontalCentered="1" vertic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4" manualBreakCount="4">
    <brk id="58" max="26" man="1"/>
    <brk id="108" max="26" man="1"/>
    <brk id="149" max="26" man="1"/>
    <brk id="189" max="26" man="1"/>
  </rowBreaks>
  <ignoredErrors>
    <ignoredError sqref="F12:K12 F37:K37 F18:K18 F43:K43 G62:J62 F68:K68 F87:K87 F93:K93 M62:R62 M12:R12 M18:R18 T12:Y12 T18:Y18 M37:R37 M43:R43 T37:Y37 T43:Y43 M68:R68 T62:Y62 T68:Y68 M87:R87 M93:R93 T87:Y87 T93:Y93" formula="1"/>
    <ignoredError sqref="F256:K256 M278:R278 F267:K278 M267:R277 T267:Y277 M254:R255 M245:R253 T245:Y253 F245:K255 F175:K189 M175:R189 T175:Y189 T171:Y173 M171:R173 F171:K173 F151:K169 M151:R169 T151:Y169 F174:K174 F262:K266 F240:K244 F236:K237 F258:K259 F260:K261 F238:K239 M174:R174 T174:Y174 M262:R266 M258:R259 M260:R261 T278:Y278 T262:Y266 T258:Y259 T260:Y261 M240:R244 M236:R237 M238:R239 M256:R256 T254:Y255 T240:Y244 T236:Y237 T238:Y239 T256:Y256" unlockedFormula="1"/>
    <ignoredError sqref="B192:C192 B225:B234 B247:B256 B269:B278 B211:B212 B205:C210 B203:B204 B196:B199 B218:B221 B240:B243 B262:B265 B193 B214:B215 B236:B237 B258:B259"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AI130"/>
  <sheetViews>
    <sheetView view="pageBreakPreview" zoomScale="85" zoomScaleNormal="100" zoomScaleSheetLayoutView="85" workbookViewId="0">
      <pane xSplit="4" ySplit="9" topLeftCell="E10" activePane="bottomRight" state="frozen"/>
      <selection pane="topRight" activeCell="E1" sqref="E1"/>
      <selection pane="bottomLeft" activeCell="A10" sqref="A10"/>
      <selection pane="bottomRight" activeCell="B91" sqref="B91:D92"/>
    </sheetView>
  </sheetViews>
  <sheetFormatPr defaultRowHeight="12.75"/>
  <cols>
    <col min="1" max="1" width="3.140625" style="651" customWidth="1"/>
    <col min="2" max="2" width="8.85546875" style="259" customWidth="1"/>
    <col min="3" max="3" width="7" style="259" customWidth="1"/>
    <col min="4" max="4" width="46.7109375" style="259" customWidth="1"/>
    <col min="5" max="5" width="10.42578125" style="259" customWidth="1"/>
    <col min="6" max="6" width="10.28515625" style="259" customWidth="1"/>
    <col min="7" max="11" width="9.85546875" style="259" customWidth="1"/>
    <col min="12" max="12" width="9.140625" style="259" customWidth="1"/>
    <col min="13" max="18" width="8.7109375" style="259" customWidth="1"/>
    <col min="19" max="19" width="9.7109375" style="259" customWidth="1"/>
    <col min="20" max="25" width="7.7109375" style="259" customWidth="1"/>
    <col min="26" max="26" width="9.140625" style="259" customWidth="1"/>
    <col min="27" max="32" width="7.7109375" style="259" customWidth="1"/>
    <col min="33" max="33" width="1.5703125" style="339" customWidth="1"/>
    <col min="34" max="34" width="17.28515625" style="539" customWidth="1"/>
    <col min="35" max="16384" width="9.140625" style="339"/>
  </cols>
  <sheetData>
    <row r="1" spans="1:35" ht="13.5">
      <c r="A1" s="2931"/>
      <c r="B1" s="651"/>
      <c r="C1" s="651"/>
      <c r="D1" s="651"/>
      <c r="E1" s="651"/>
      <c r="F1" s="651"/>
      <c r="G1" s="651"/>
      <c r="H1" s="651"/>
      <c r="I1" s="651"/>
      <c r="J1" s="651"/>
      <c r="K1" s="651"/>
      <c r="L1" s="651"/>
      <c r="M1" s="651"/>
      <c r="N1" s="651"/>
      <c r="O1" s="651"/>
      <c r="P1" s="651"/>
      <c r="Q1" s="348" t="s">
        <v>249</v>
      </c>
      <c r="R1" s="651"/>
      <c r="S1" s="347"/>
      <c r="Z1" s="294"/>
      <c r="AF1" s="348" t="s">
        <v>249</v>
      </c>
    </row>
    <row r="2" spans="1:35" ht="42" customHeight="1">
      <c r="A2" s="3499" t="s">
        <v>1415</v>
      </c>
      <c r="B2" s="3499"/>
      <c r="C2" s="3499"/>
      <c r="D2" s="3499"/>
      <c r="E2" s="3499"/>
      <c r="F2" s="3499"/>
      <c r="G2" s="3499"/>
      <c r="H2" s="3499"/>
      <c r="I2" s="3499"/>
      <c r="J2" s="3499"/>
      <c r="K2" s="3499"/>
      <c r="L2" s="3499"/>
      <c r="M2" s="3499"/>
      <c r="N2" s="3499"/>
      <c r="O2" s="3499"/>
      <c r="P2" s="3499"/>
      <c r="Q2" s="3499"/>
      <c r="R2" s="3499"/>
      <c r="S2" s="2025"/>
      <c r="T2" s="2025"/>
      <c r="U2" s="2025"/>
      <c r="V2" s="2025"/>
      <c r="W2" s="2025"/>
      <c r="X2" s="2025"/>
      <c r="Y2" s="2025"/>
      <c r="Z2" s="2025"/>
      <c r="AA2" s="2025"/>
      <c r="AB2" s="2025"/>
      <c r="AC2" s="2025"/>
      <c r="AD2" s="2025"/>
      <c r="AE2" s="2025"/>
      <c r="AF2" s="2025"/>
    </row>
    <row r="3" spans="1:35" ht="15.75">
      <c r="A3" s="3506" t="str">
        <f>'1. Анкетна карта'!A3:J3</f>
        <v>на "Водоснабдяване и канализация" ООД , гр. Враца</v>
      </c>
      <c r="B3" s="3506"/>
      <c r="C3" s="3506"/>
      <c r="D3" s="3506"/>
      <c r="E3" s="3506"/>
      <c r="F3" s="3506"/>
      <c r="G3" s="3506"/>
      <c r="H3" s="3506"/>
      <c r="I3" s="3506"/>
      <c r="J3" s="3506"/>
      <c r="K3" s="3506"/>
      <c r="L3" s="3506"/>
      <c r="M3" s="3506"/>
      <c r="N3" s="3506"/>
      <c r="O3" s="3506"/>
      <c r="P3" s="3506"/>
      <c r="Q3" s="3506"/>
      <c r="R3" s="3506"/>
      <c r="S3" s="2026"/>
      <c r="T3" s="2026"/>
      <c r="U3" s="2026"/>
      <c r="V3" s="2026"/>
      <c r="W3" s="2026"/>
      <c r="X3" s="2026"/>
      <c r="Y3" s="2026"/>
      <c r="Z3" s="2026"/>
      <c r="AA3" s="2026"/>
      <c r="AB3" s="2026"/>
      <c r="AC3" s="2026"/>
      <c r="AD3" s="2026"/>
      <c r="AE3" s="2026"/>
      <c r="AF3" s="2026"/>
    </row>
    <row r="4" spans="1:35" ht="16.5" thickBot="1">
      <c r="A4" s="3506" t="str">
        <f>'1. Анкетна карта'!A4:J4</f>
        <v>ЕИК по БУЛСТАТ: 816090199</v>
      </c>
      <c r="B4" s="3506"/>
      <c r="C4" s="3506"/>
      <c r="D4" s="3506"/>
      <c r="E4" s="3506"/>
      <c r="F4" s="3506"/>
      <c r="G4" s="3506"/>
      <c r="H4" s="3506"/>
      <c r="I4" s="3506"/>
      <c r="J4" s="3506"/>
      <c r="K4" s="3506"/>
      <c r="L4" s="3506"/>
      <c r="M4" s="3506"/>
      <c r="N4" s="3506"/>
      <c r="O4" s="3506"/>
      <c r="P4" s="3506"/>
      <c r="Q4" s="3506"/>
      <c r="R4" s="3506"/>
      <c r="S4" s="2026"/>
      <c r="T4" s="2026"/>
      <c r="U4" s="2026"/>
      <c r="V4" s="2026"/>
      <c r="W4" s="2026"/>
      <c r="X4" s="2026"/>
      <c r="Y4" s="2026"/>
      <c r="Z4" s="2026"/>
      <c r="AA4" s="2026"/>
      <c r="AB4" s="2026"/>
      <c r="AC4" s="2026"/>
      <c r="AD4" s="2026"/>
      <c r="AE4" s="2026"/>
      <c r="AF4" s="2026"/>
    </row>
    <row r="5" spans="1:35" ht="16.5" thickBot="1">
      <c r="A5" s="2932"/>
      <c r="B5" s="339"/>
      <c r="C5" s="527"/>
      <c r="D5" s="528" t="s">
        <v>843</v>
      </c>
      <c r="E5" s="604">
        <v>1</v>
      </c>
      <c r="F5" s="524"/>
      <c r="G5" s="2932"/>
      <c r="H5" s="517"/>
      <c r="I5" s="2932"/>
      <c r="J5" s="2932"/>
      <c r="K5" s="2932"/>
      <c r="L5" s="2932"/>
      <c r="M5" s="2932"/>
      <c r="N5" s="2932"/>
      <c r="O5" s="2932"/>
      <c r="P5" s="2932"/>
      <c r="Q5" s="2932"/>
      <c r="R5" s="2932"/>
      <c r="S5" s="2932"/>
      <c r="T5" s="2932"/>
      <c r="U5" s="2932"/>
      <c r="V5" s="2932"/>
      <c r="W5" s="2932"/>
      <c r="X5" s="2932"/>
      <c r="Y5" s="2932"/>
      <c r="Z5" s="2932"/>
      <c r="AA5" s="2932"/>
      <c r="AB5" s="2932"/>
      <c r="AC5" s="2932"/>
      <c r="AD5" s="2932"/>
      <c r="AE5" s="2932"/>
      <c r="AF5" s="2932"/>
    </row>
    <row r="6" spans="1:35" ht="16.5" thickBot="1">
      <c r="A6" s="2932"/>
      <c r="B6" s="339"/>
      <c r="C6" s="529"/>
      <c r="D6" s="528" t="s">
        <v>865</v>
      </c>
      <c r="E6" s="530">
        <f>12/6</f>
        <v>2</v>
      </c>
      <c r="F6" s="2932"/>
      <c r="G6" s="2932"/>
      <c r="H6" s="517"/>
      <c r="I6" s="2932"/>
      <c r="J6" s="2932"/>
      <c r="K6" s="2932"/>
      <c r="L6" s="2932"/>
      <c r="M6" s="2932"/>
      <c r="N6" s="2932"/>
      <c r="O6" s="2932"/>
      <c r="P6" s="2932"/>
      <c r="Q6" s="2932"/>
      <c r="R6" s="2932"/>
      <c r="S6" s="2932"/>
      <c r="T6" s="2932"/>
      <c r="U6" s="2932"/>
      <c r="V6" s="2932"/>
      <c r="W6" s="2932"/>
      <c r="X6" s="2932"/>
      <c r="Y6" s="2932"/>
      <c r="Z6" s="2932"/>
      <c r="AA6" s="2932"/>
      <c r="AB6" s="2932"/>
      <c r="AC6" s="2932"/>
      <c r="AD6" s="2932"/>
      <c r="AE6" s="2932"/>
      <c r="AF6" s="2932"/>
    </row>
    <row r="7" spans="1:35" ht="13.5" thickBot="1">
      <c r="H7" s="518"/>
      <c r="AA7" s="295"/>
      <c r="AB7" s="296"/>
      <c r="AF7" s="38" t="s">
        <v>250</v>
      </c>
    </row>
    <row r="8" spans="1:35" ht="13.5" thickBot="1">
      <c r="A8" s="3509" t="s">
        <v>1</v>
      </c>
      <c r="B8" s="3504" t="s">
        <v>1489</v>
      </c>
      <c r="C8" s="3504" t="s">
        <v>1488</v>
      </c>
      <c r="D8" s="3509" t="s">
        <v>95</v>
      </c>
      <c r="E8" s="3509" t="s">
        <v>273</v>
      </c>
      <c r="F8" s="3511"/>
      <c r="G8" s="3511"/>
      <c r="H8" s="3511"/>
      <c r="I8" s="3511"/>
      <c r="J8" s="3511"/>
      <c r="K8" s="3512"/>
      <c r="L8" s="3509" t="s">
        <v>230</v>
      </c>
      <c r="M8" s="3511"/>
      <c r="N8" s="3511"/>
      <c r="O8" s="3511"/>
      <c r="P8" s="3511"/>
      <c r="Q8" s="3511"/>
      <c r="R8" s="3512"/>
      <c r="S8" s="3509" t="s">
        <v>241</v>
      </c>
      <c r="T8" s="3511"/>
      <c r="U8" s="3511"/>
      <c r="V8" s="3511"/>
      <c r="W8" s="3511"/>
      <c r="X8" s="3511"/>
      <c r="Y8" s="3512"/>
      <c r="Z8" s="3509" t="s">
        <v>894</v>
      </c>
      <c r="AA8" s="3511"/>
      <c r="AB8" s="3511"/>
      <c r="AC8" s="3511"/>
      <c r="AD8" s="3511"/>
      <c r="AE8" s="3511"/>
      <c r="AF8" s="3512"/>
      <c r="AH8" s="3507" t="s">
        <v>912</v>
      </c>
    </row>
    <row r="9" spans="1:35" ht="20.25" customHeight="1" thickBot="1">
      <c r="A9" s="3510"/>
      <c r="B9" s="3505"/>
      <c r="C9" s="3505"/>
      <c r="D9" s="3510"/>
      <c r="E9" s="1172" t="str">
        <f>'Приложение '!G12</f>
        <v>2015 г.</v>
      </c>
      <c r="F9" s="1167" t="str">
        <f>'Приложение '!G13</f>
        <v>2016 г.</v>
      </c>
      <c r="G9" s="1168" t="str">
        <f>'Приложение '!G14</f>
        <v>2017 г.</v>
      </c>
      <c r="H9" s="1168" t="str">
        <f>'Приложение '!G15</f>
        <v>2018 г.</v>
      </c>
      <c r="I9" s="1168" t="str">
        <f>'Приложение '!G16</f>
        <v>2019 г.</v>
      </c>
      <c r="J9" s="1168" t="str">
        <f>'Приложение '!G17</f>
        <v>2020 г.</v>
      </c>
      <c r="K9" s="1169" t="str">
        <f>'Приложение '!G18</f>
        <v>2021 г.</v>
      </c>
      <c r="L9" s="1172" t="str">
        <f t="shared" ref="L9:AF9" si="0">E9</f>
        <v>2015 г.</v>
      </c>
      <c r="M9" s="1167" t="str">
        <f t="shared" si="0"/>
        <v>2016 г.</v>
      </c>
      <c r="N9" s="1168" t="str">
        <f t="shared" si="0"/>
        <v>2017 г.</v>
      </c>
      <c r="O9" s="1168" t="str">
        <f t="shared" si="0"/>
        <v>2018 г.</v>
      </c>
      <c r="P9" s="1168" t="str">
        <f t="shared" si="0"/>
        <v>2019 г.</v>
      </c>
      <c r="Q9" s="1168" t="str">
        <f t="shared" si="0"/>
        <v>2020 г.</v>
      </c>
      <c r="R9" s="1169" t="str">
        <f t="shared" si="0"/>
        <v>2021 г.</v>
      </c>
      <c r="S9" s="1173" t="str">
        <f t="shared" si="0"/>
        <v>2015 г.</v>
      </c>
      <c r="T9" s="1170" t="str">
        <f t="shared" si="0"/>
        <v>2016 г.</v>
      </c>
      <c r="U9" s="1168" t="str">
        <f t="shared" si="0"/>
        <v>2017 г.</v>
      </c>
      <c r="V9" s="1168" t="str">
        <f t="shared" si="0"/>
        <v>2018 г.</v>
      </c>
      <c r="W9" s="1170" t="str">
        <f t="shared" si="0"/>
        <v>2019 г.</v>
      </c>
      <c r="X9" s="1168" t="str">
        <f t="shared" si="0"/>
        <v>2020 г.</v>
      </c>
      <c r="Y9" s="1169" t="str">
        <f t="shared" si="0"/>
        <v>2021 г.</v>
      </c>
      <c r="Z9" s="1173" t="str">
        <f t="shared" si="0"/>
        <v>2015 г.</v>
      </c>
      <c r="AA9" s="1170" t="str">
        <f t="shared" si="0"/>
        <v>2016 г.</v>
      </c>
      <c r="AB9" s="1168" t="str">
        <f t="shared" si="0"/>
        <v>2017 г.</v>
      </c>
      <c r="AC9" s="1168" t="str">
        <f t="shared" si="0"/>
        <v>2018 г.</v>
      </c>
      <c r="AD9" s="1168" t="str">
        <f t="shared" si="0"/>
        <v>2019 г.</v>
      </c>
      <c r="AE9" s="1168" t="str">
        <f t="shared" si="0"/>
        <v>2020 г.</v>
      </c>
      <c r="AF9" s="1169" t="str">
        <f t="shared" si="0"/>
        <v>2021 г.</v>
      </c>
      <c r="AH9" s="3508"/>
    </row>
    <row r="10" spans="1:35" s="298" customFormat="1" ht="17.25" customHeight="1" thickBot="1">
      <c r="A10" s="1619" t="s">
        <v>268</v>
      </c>
      <c r="B10" s="246"/>
      <c r="C10" s="246"/>
      <c r="D10" s="246" t="s">
        <v>483</v>
      </c>
      <c r="E10" s="916">
        <f t="shared" ref="E10:AF10" si="1">E11+E14+E17+E29+E44+E49+SUM(E53:E58)</f>
        <v>1854</v>
      </c>
      <c r="F10" s="917">
        <f t="shared" si="1"/>
        <v>3128</v>
      </c>
      <c r="G10" s="243">
        <f t="shared" si="1"/>
        <v>949</v>
      </c>
      <c r="H10" s="243">
        <f t="shared" si="1"/>
        <v>914</v>
      </c>
      <c r="I10" s="243">
        <f t="shared" si="1"/>
        <v>839</v>
      </c>
      <c r="J10" s="243">
        <f t="shared" si="1"/>
        <v>789</v>
      </c>
      <c r="K10" s="244">
        <f t="shared" si="1"/>
        <v>744</v>
      </c>
      <c r="L10" s="2041">
        <f t="shared" si="1"/>
        <v>11</v>
      </c>
      <c r="M10" s="917">
        <f t="shared" si="1"/>
        <v>55</v>
      </c>
      <c r="N10" s="243">
        <f t="shared" si="1"/>
        <v>1713</v>
      </c>
      <c r="O10" s="243">
        <f t="shared" si="1"/>
        <v>38</v>
      </c>
      <c r="P10" s="243">
        <f t="shared" si="1"/>
        <v>72</v>
      </c>
      <c r="Q10" s="243">
        <f t="shared" si="1"/>
        <v>61</v>
      </c>
      <c r="R10" s="244">
        <f t="shared" si="1"/>
        <v>43</v>
      </c>
      <c r="S10" s="650">
        <f t="shared" si="1"/>
        <v>90</v>
      </c>
      <c r="T10" s="242">
        <f t="shared" si="1"/>
        <v>30</v>
      </c>
      <c r="U10" s="243">
        <f t="shared" si="1"/>
        <v>59</v>
      </c>
      <c r="V10" s="243">
        <f t="shared" si="1"/>
        <v>444</v>
      </c>
      <c r="W10" s="243">
        <f t="shared" si="1"/>
        <v>66</v>
      </c>
      <c r="X10" s="243">
        <f t="shared" si="1"/>
        <v>51</v>
      </c>
      <c r="Y10" s="244">
        <f t="shared" si="1"/>
        <v>61</v>
      </c>
      <c r="Z10" s="650">
        <f t="shared" si="1"/>
        <v>1955</v>
      </c>
      <c r="AA10" s="242">
        <f t="shared" si="1"/>
        <v>427</v>
      </c>
      <c r="AB10" s="243">
        <f t="shared" si="1"/>
        <v>240</v>
      </c>
      <c r="AC10" s="243">
        <f t="shared" si="1"/>
        <v>235</v>
      </c>
      <c r="AD10" s="243">
        <f t="shared" si="1"/>
        <v>230</v>
      </c>
      <c r="AE10" s="243">
        <f t="shared" si="1"/>
        <v>240</v>
      </c>
      <c r="AF10" s="244">
        <f t="shared" si="1"/>
        <v>250</v>
      </c>
      <c r="AG10" s="297"/>
      <c r="AH10" s="3022">
        <f>SUM(F10:AF10)-L10-S10-Z10-('9.Инвестиционна програма'!L86+'9.Инвестиционна програма'!F86)*'11.1.Амортиз.нови активи'!E5</f>
        <v>0</v>
      </c>
      <c r="AI10" s="299"/>
    </row>
    <row r="11" spans="1:35" s="262" customFormat="1">
      <c r="A11" s="1803">
        <v>1</v>
      </c>
      <c r="B11" s="1803">
        <v>201</v>
      </c>
      <c r="C11" s="1804">
        <v>0</v>
      </c>
      <c r="D11" s="1805" t="s">
        <v>280</v>
      </c>
      <c r="E11" s="1806">
        <f>SUM(E12:E13)</f>
        <v>0</v>
      </c>
      <c r="F11" s="922">
        <f>SUM(F12:F13)</f>
        <v>0</v>
      </c>
      <c r="G11" s="923">
        <f>SUM(G12:G13)</f>
        <v>0</v>
      </c>
      <c r="H11" s="923">
        <f>SUM(H12:H13)</f>
        <v>0</v>
      </c>
      <c r="I11" s="923">
        <f t="shared" ref="I11:K11" si="2">SUM(I12:I13)</f>
        <v>0</v>
      </c>
      <c r="J11" s="923">
        <f t="shared" si="2"/>
        <v>0</v>
      </c>
      <c r="K11" s="924">
        <f t="shared" si="2"/>
        <v>0</v>
      </c>
      <c r="L11" s="2061">
        <f>SUM(L12:L13)</f>
        <v>0</v>
      </c>
      <c r="M11" s="922">
        <f>SUM(M12:M13)</f>
        <v>0</v>
      </c>
      <c r="N11" s="923">
        <f>SUM(N12:N13)</f>
        <v>0</v>
      </c>
      <c r="O11" s="923">
        <f>SUM(O12:O13)</f>
        <v>0</v>
      </c>
      <c r="P11" s="923">
        <f t="shared" ref="P11:R11" si="3">SUM(P12:P13)</f>
        <v>0</v>
      </c>
      <c r="Q11" s="923">
        <f t="shared" si="3"/>
        <v>0</v>
      </c>
      <c r="R11" s="924">
        <f t="shared" si="3"/>
        <v>0</v>
      </c>
      <c r="S11" s="971">
        <f>SUM(S12:S13)</f>
        <v>0</v>
      </c>
      <c r="T11" s="2912">
        <f>SUM(T12:T13)</f>
        <v>0</v>
      </c>
      <c r="U11" s="923">
        <f>SUM(U12:U13)</f>
        <v>0</v>
      </c>
      <c r="V11" s="923">
        <f>SUM(V12:V13)</f>
        <v>0</v>
      </c>
      <c r="W11" s="923">
        <f t="shared" ref="W11:Y11" si="4">SUM(W12:W13)</f>
        <v>0</v>
      </c>
      <c r="X11" s="923">
        <f t="shared" si="4"/>
        <v>0</v>
      </c>
      <c r="Y11" s="924">
        <f t="shared" si="4"/>
        <v>0</v>
      </c>
      <c r="Z11" s="971">
        <f>SUM(Z12:Z13)</f>
        <v>0</v>
      </c>
      <c r="AA11" s="922">
        <f>SUM(AA12:AA13)</f>
        <v>0</v>
      </c>
      <c r="AB11" s="923">
        <f>SUM(AB12:AB13)</f>
        <v>0</v>
      </c>
      <c r="AC11" s="923">
        <f>SUM(AC12:AC13)</f>
        <v>0</v>
      </c>
      <c r="AD11" s="923">
        <f t="shared" ref="AD11:AF11" si="5">SUM(AD12:AD13)</f>
        <v>0</v>
      </c>
      <c r="AE11" s="923">
        <f t="shared" si="5"/>
        <v>0</v>
      </c>
      <c r="AF11" s="924">
        <f t="shared" si="5"/>
        <v>0</v>
      </c>
      <c r="AG11" s="306"/>
      <c r="AH11" s="565"/>
    </row>
    <row r="12" spans="1:35" s="294" customFormat="1">
      <c r="A12" s="279"/>
      <c r="B12" s="279">
        <v>20101</v>
      </c>
      <c r="C12" s="877">
        <v>0</v>
      </c>
      <c r="D12" s="265" t="s">
        <v>758</v>
      </c>
      <c r="E12" s="925">
        <f>'11.2. Нови активи отч.год.'!E13</f>
        <v>0</v>
      </c>
      <c r="F12" s="893">
        <f>SUMIF('9.Инвестиционна програма'!$B$11:$B$34,$B12,'9.Инвестиционна програма'!F$11:F$34)*$E$5</f>
        <v>0</v>
      </c>
      <c r="G12" s="882">
        <f>SUMIF('9.Инвестиционна програма'!$B$11:$B$34,$B12,'9.Инвестиционна програма'!G$11:G$34)*$E$5</f>
        <v>0</v>
      </c>
      <c r="H12" s="882">
        <f>SUMIF('9.Инвестиционна програма'!$B$11:$B$34,$B12,'9.Инвестиционна програма'!H$11:H$34)*$E$5</f>
        <v>0</v>
      </c>
      <c r="I12" s="882">
        <f>SUMIF('9.Инвестиционна програма'!$B$11:$B$34,$B12,'9.Инвестиционна програма'!I$11:I$34)*$E$5</f>
        <v>0</v>
      </c>
      <c r="J12" s="882">
        <f>SUMIF('9.Инвестиционна програма'!$B$11:$B$34,$B12,'9.Инвестиционна програма'!J$11:J$34)*$E$5</f>
        <v>0</v>
      </c>
      <c r="K12" s="883">
        <f>SUMIF('9.Инвестиционна програма'!$B$11:$B$34,$B12,'9.Инвестиционна програма'!K$11:K$34)*$E$5</f>
        <v>0</v>
      </c>
      <c r="L12" s="1487">
        <f>'11.2. Нови активи отч.год.'!L13</f>
        <v>0</v>
      </c>
      <c r="M12" s="881">
        <f>SUMIF('9.Инвестиционна програма'!$B$36:$B$46,$B12,'9.Инвестиционна програма'!F$36:F$46)*$E$5</f>
        <v>0</v>
      </c>
      <c r="N12" s="882">
        <f>SUMIF('9.Инвестиционна програма'!$B$36:$B$46,$B12,'9.Инвестиционна програма'!G$36:G$46)*$E$5</f>
        <v>0</v>
      </c>
      <c r="O12" s="882">
        <f>SUMIF('9.Инвестиционна програма'!$B$36:$B$46,$B12,'9.Инвестиционна програма'!H$36:H$46)*$E$5</f>
        <v>0</v>
      </c>
      <c r="P12" s="882">
        <f>SUMIF('9.Инвестиционна програма'!$B$36:$B$46,$B12,'9.Инвестиционна програма'!I$36:I$46)*$E$5</f>
        <v>0</v>
      </c>
      <c r="Q12" s="882">
        <f>SUMIF('9.Инвестиционна програма'!$B$36:$B$46,$B12,'9.Инвестиционна програма'!J$36:J$46)*$E$5</f>
        <v>0</v>
      </c>
      <c r="R12" s="883">
        <f>SUMIF('9.Инвестиционна програма'!$B$36:$B$46,$B12,'9.Инвестиционна програма'!K$36:K$46)*$E$5</f>
        <v>0</v>
      </c>
      <c r="S12" s="926">
        <f>'11.2. Нови активи отч.год.'!S13</f>
        <v>0</v>
      </c>
      <c r="T12" s="927">
        <f>SUMIF('9.Инвестиционна програма'!$B$48:$B$55,$B12,'9.Инвестиционна програма'!F$48:F$55)*$E$5</f>
        <v>0</v>
      </c>
      <c r="U12" s="927">
        <f>SUMIF('9.Инвестиционна програма'!$B$48:$B$55,$B12,'9.Инвестиционна програма'!G$48:G$55)*$E$5</f>
        <v>0</v>
      </c>
      <c r="V12" s="927">
        <f>SUMIF('9.Инвестиционна програма'!$B$48:$B$55,$B12,'9.Инвестиционна програма'!H$48:H$55)*$E$5</f>
        <v>0</v>
      </c>
      <c r="W12" s="927">
        <f>SUMIF('9.Инвестиционна програма'!$B$48:$B$55,$B12,'9.Инвестиционна програма'!I$48:I$55)*$E$5</f>
        <v>0</v>
      </c>
      <c r="X12" s="927">
        <f>SUMIF('9.Инвестиционна програма'!$B$48:$B$55,$B12,'9.Инвестиционна програма'!J$48:J$55)*$E$5</f>
        <v>0</v>
      </c>
      <c r="Y12" s="927">
        <f>SUMIF('9.Инвестиционна програма'!$B$48:$B$55,$B12,'9.Инвестиционна програма'!K$48:K$55)*$E$5</f>
        <v>0</v>
      </c>
      <c r="Z12" s="926">
        <f>'11.2. Нови активи отч.год.'!Z13</f>
        <v>0</v>
      </c>
      <c r="AA12" s="881">
        <f>(SUMIF('9.Инвестиционна програма'!$B$57:$B$58,$B12,'9.Инвестиционна програма'!F$57:F$58)+SUMIF('9.Инвестиционна програма'!$B$60:$B$67,$B12,'9.Инвестиционна програма'!F$60:F$67))*$E$5</f>
        <v>0</v>
      </c>
      <c r="AB12" s="928">
        <f>(SUMIF('9.Инвестиционна програма'!$B$57:$B$58,$B12,'9.Инвестиционна програма'!G$57:G$58)+SUMIF('9.Инвестиционна програма'!$B$60:$B$67,$B12,'9.Инвестиционна програма'!G$60:G$67))*$E$5</f>
        <v>0</v>
      </c>
      <c r="AC12" s="928">
        <f>(SUMIF('9.Инвестиционна програма'!$B$57:$B$58,$B12,'9.Инвестиционна програма'!H$57:H$58)+SUMIF('9.Инвестиционна програма'!$B$60:$B$67,$B12,'9.Инвестиционна програма'!H$60:H$67))*$E$5</f>
        <v>0</v>
      </c>
      <c r="AD12" s="928">
        <f>(SUMIF('9.Инвестиционна програма'!$B$57:$B$58,$B12,'9.Инвестиционна програма'!I$57:I$58)+SUMIF('9.Инвестиционна програма'!$B$60:$B$67,$B12,'9.Инвестиционна програма'!I$60:I$67))*$E$5</f>
        <v>0</v>
      </c>
      <c r="AE12" s="928">
        <f>(SUMIF('9.Инвестиционна програма'!$B$57:$B$58,$B12,'9.Инвестиционна програма'!J$57:J$58)+SUMIF('9.Инвестиционна програма'!$B$60:$B$67,$B12,'9.Инвестиционна програма'!J$60:J$67))*$E$5</f>
        <v>0</v>
      </c>
      <c r="AF12" s="929">
        <f>(SUMIF('9.Инвестиционна програма'!$B$57:$B$58,$B12,'9.Инвестиционна програма'!K$57:K$58)+SUMIF('9.Инвестиционна програма'!$B$60:$B$67,$B12,'9.Инвестиционна програма'!K$60:K$67))*$E$5</f>
        <v>0</v>
      </c>
      <c r="AG12" s="512"/>
      <c r="AH12" s="566"/>
    </row>
    <row r="13" spans="1:35" s="294" customFormat="1">
      <c r="A13" s="279"/>
      <c r="B13" s="1630">
        <v>20102</v>
      </c>
      <c r="C13" s="1631">
        <v>0</v>
      </c>
      <c r="D13" s="1638" t="s">
        <v>760</v>
      </c>
      <c r="E13" s="925">
        <f>'11.2. Нови активи отч.год.'!E14</f>
        <v>0</v>
      </c>
      <c r="F13" s="881">
        <f>SUMIF('9.Инвестиционна програма'!$B$11:$B$34,$B13,'9.Инвестиционна програма'!F$11:F$34)*$E$5</f>
        <v>0</v>
      </c>
      <c r="G13" s="882">
        <f>SUMIF('9.Инвестиционна програма'!$B$11:$B$34,$B13,'9.Инвестиционна програма'!G$11:G$34)*$E$5</f>
        <v>0</v>
      </c>
      <c r="H13" s="882">
        <f>SUMIF('9.Инвестиционна програма'!$B$11:$B$34,$B13,'9.Инвестиционна програма'!H$11:H$34)*$E$5</f>
        <v>0</v>
      </c>
      <c r="I13" s="882">
        <f>SUMIF('9.Инвестиционна програма'!$B$11:$B$34,$B13,'9.Инвестиционна програма'!I$11:I$34)*$E$5</f>
        <v>0</v>
      </c>
      <c r="J13" s="882">
        <f>SUMIF('9.Инвестиционна програма'!$B$11:$B$34,$B13,'9.Инвестиционна програма'!J$11:J$34)*$E$5</f>
        <v>0</v>
      </c>
      <c r="K13" s="883">
        <f>SUMIF('9.Инвестиционна програма'!$B$11:$B$34,$B13,'9.Инвестиционна програма'!K$11:K$34)*$E$5</f>
        <v>0</v>
      </c>
      <c r="L13" s="1487">
        <f>'11.2. Нови активи отч.год.'!L14</f>
        <v>0</v>
      </c>
      <c r="M13" s="930">
        <f>SUMIF('9.Инвестиционна програма'!$B$36:$B$46,$B13,'9.Инвестиционна програма'!F$36:F$46)*$E$5</f>
        <v>0</v>
      </c>
      <c r="N13" s="931">
        <f>SUMIF('9.Инвестиционна програма'!$B$36:$B$46,$B13,'9.Инвестиционна програма'!G$36:G$46)*$E$5</f>
        <v>0</v>
      </c>
      <c r="O13" s="931">
        <f>SUMIF('9.Инвестиционна програма'!$B$36:$B$46,$B13,'9.Инвестиционна програма'!H$36:H$46)*$E$5</f>
        <v>0</v>
      </c>
      <c r="P13" s="931">
        <f>SUMIF('9.Инвестиционна програма'!$B$36:$B$46,$B13,'9.Инвестиционна програма'!I$36:I$46)*$E$5</f>
        <v>0</v>
      </c>
      <c r="Q13" s="931">
        <f>SUMIF('9.Инвестиционна програма'!$B$36:$B$46,$B13,'9.Инвестиционна програма'!J$36:J$46)*$E$5</f>
        <v>0</v>
      </c>
      <c r="R13" s="932">
        <f>SUMIF('9.Инвестиционна програма'!$B$36:$B$46,$B13,'9.Инвестиционна програма'!K$36:K$46)*$E$5</f>
        <v>0</v>
      </c>
      <c r="S13" s="926">
        <f>'11.2. Нови активи отч.год.'!S14</f>
        <v>0</v>
      </c>
      <c r="T13" s="927">
        <f>SUMIF('9.Инвестиционна програма'!$B$48:$B$55,$B13,'9.Инвестиционна програма'!F$48:F$55)*$E$5</f>
        <v>0</v>
      </c>
      <c r="U13" s="927">
        <f>SUMIF('9.Инвестиционна програма'!$B$48:$B$55,$B13,'9.Инвестиционна програма'!G$48:G$55)*$E$5</f>
        <v>0</v>
      </c>
      <c r="V13" s="927">
        <f>SUMIF('9.Инвестиционна програма'!$B$48:$B$55,$B13,'9.Инвестиционна програма'!H$48:H$55)*$E$5</f>
        <v>0</v>
      </c>
      <c r="W13" s="927">
        <f>SUMIF('9.Инвестиционна програма'!$B$48:$B$55,$B13,'9.Инвестиционна програма'!I$48:I$55)*$E$5</f>
        <v>0</v>
      </c>
      <c r="X13" s="927">
        <f>SUMIF('9.Инвестиционна програма'!$B$48:$B$55,$B13,'9.Инвестиционна програма'!J$48:J$55)*$E$5</f>
        <v>0</v>
      </c>
      <c r="Y13" s="927">
        <f>SUMIF('9.Инвестиционна програма'!$B$48:$B$55,$B13,'9.Инвестиционна програма'!K$48:K$55)*$E$5</f>
        <v>0</v>
      </c>
      <c r="Z13" s="926">
        <f>'11.2. Нови активи отч.год.'!Z14</f>
        <v>0</v>
      </c>
      <c r="AA13" s="930">
        <f>(SUMIF('9.Инвестиционна програма'!$B$57:$B$58,$B13,'9.Инвестиционна програма'!F$57:F$58)+SUMIF('9.Инвестиционна програма'!$B$60:$B$67,$B13,'9.Инвестиционна програма'!F$60:F$67))*$E$5</f>
        <v>0</v>
      </c>
      <c r="AB13" s="927">
        <f>(SUMIF('9.Инвестиционна програма'!$B$57:$B$58,$B13,'9.Инвестиционна програма'!G$57:G$58)+SUMIF('9.Инвестиционна програма'!$B$60:$B$67,$B13,'9.Инвестиционна програма'!G$60:G$67))*$E$5</f>
        <v>0</v>
      </c>
      <c r="AC13" s="927">
        <f>(SUMIF('9.Инвестиционна програма'!$B$57:$B$58,$B13,'9.Инвестиционна програма'!H$57:H$58)+SUMIF('9.Инвестиционна програма'!$B$60:$B$67,$B13,'9.Инвестиционна програма'!H$60:H$67))*$E$5</f>
        <v>0</v>
      </c>
      <c r="AD13" s="927">
        <f>(SUMIF('9.Инвестиционна програма'!$B$57:$B$58,$B13,'9.Инвестиционна програма'!I$57:I$58)+SUMIF('9.Инвестиционна програма'!$B$60:$B$67,$B13,'9.Инвестиционна програма'!I$60:I$67))*$E$5</f>
        <v>0</v>
      </c>
      <c r="AE13" s="927">
        <f>(SUMIF('9.Инвестиционна програма'!$B$57:$B$58,$B13,'9.Инвестиционна програма'!J$57:J$58)+SUMIF('9.Инвестиционна програма'!$B$60:$B$67,$B13,'9.Инвестиционна програма'!J$60:J$67))*$E$5</f>
        <v>0</v>
      </c>
      <c r="AF13" s="933">
        <f>(SUMIF('9.Инвестиционна програма'!$B$57:$B$58,$B13,'9.Инвестиционна програма'!K$57:K$58)+SUMIF('9.Инвестиционна програма'!$B$60:$B$67,$B13,'9.Инвестиционна програма'!K$60:K$67))*$E$5</f>
        <v>0</v>
      </c>
      <c r="AG13" s="307"/>
      <c r="AH13" s="566"/>
    </row>
    <row r="14" spans="1:35" s="262" customFormat="1">
      <c r="A14" s="934">
        <v>2</v>
      </c>
      <c r="B14" s="1808">
        <v>202</v>
      </c>
      <c r="C14" s="1809">
        <v>0.03</v>
      </c>
      <c r="D14" s="1810" t="s">
        <v>576</v>
      </c>
      <c r="E14" s="937">
        <f>SUM(E15:E16)</f>
        <v>235</v>
      </c>
      <c r="F14" s="885">
        <f>SUM(F15:F16)</f>
        <v>0</v>
      </c>
      <c r="G14" s="886">
        <f t="shared" ref="G14:AF14" si="6">SUM(G15:G16)</f>
        <v>20</v>
      </c>
      <c r="H14" s="886">
        <f t="shared" si="6"/>
        <v>10</v>
      </c>
      <c r="I14" s="886">
        <f t="shared" si="6"/>
        <v>10</v>
      </c>
      <c r="J14" s="886">
        <f t="shared" si="6"/>
        <v>10</v>
      </c>
      <c r="K14" s="887">
        <f t="shared" si="6"/>
        <v>10</v>
      </c>
      <c r="L14" s="2062">
        <f t="shared" si="6"/>
        <v>3</v>
      </c>
      <c r="M14" s="885">
        <f t="shared" si="6"/>
        <v>0</v>
      </c>
      <c r="N14" s="886">
        <f t="shared" si="6"/>
        <v>0</v>
      </c>
      <c r="O14" s="886">
        <f t="shared" si="6"/>
        <v>0</v>
      </c>
      <c r="P14" s="886">
        <f t="shared" si="6"/>
        <v>0</v>
      </c>
      <c r="Q14" s="886">
        <f t="shared" si="6"/>
        <v>0</v>
      </c>
      <c r="R14" s="887">
        <f t="shared" si="6"/>
        <v>0</v>
      </c>
      <c r="S14" s="884">
        <f t="shared" si="6"/>
        <v>10</v>
      </c>
      <c r="T14" s="888">
        <f t="shared" si="6"/>
        <v>0</v>
      </c>
      <c r="U14" s="886">
        <f t="shared" si="6"/>
        <v>0</v>
      </c>
      <c r="V14" s="886">
        <f t="shared" si="6"/>
        <v>0</v>
      </c>
      <c r="W14" s="886">
        <f t="shared" si="6"/>
        <v>0</v>
      </c>
      <c r="X14" s="886">
        <f t="shared" si="6"/>
        <v>0</v>
      </c>
      <c r="Y14" s="887">
        <f t="shared" si="6"/>
        <v>0</v>
      </c>
      <c r="Z14" s="884">
        <f t="shared" si="6"/>
        <v>248</v>
      </c>
      <c r="AA14" s="888">
        <f t="shared" si="6"/>
        <v>335</v>
      </c>
      <c r="AB14" s="886">
        <f t="shared" si="6"/>
        <v>150</v>
      </c>
      <c r="AC14" s="886">
        <f t="shared" si="6"/>
        <v>150</v>
      </c>
      <c r="AD14" s="886">
        <f t="shared" si="6"/>
        <v>150</v>
      </c>
      <c r="AE14" s="886">
        <f t="shared" si="6"/>
        <v>150</v>
      </c>
      <c r="AF14" s="887">
        <f t="shared" si="6"/>
        <v>150</v>
      </c>
      <c r="AH14" s="565"/>
    </row>
    <row r="15" spans="1:35">
      <c r="A15" s="278"/>
      <c r="B15" s="1632">
        <v>20201</v>
      </c>
      <c r="C15" s="1633">
        <v>0.03</v>
      </c>
      <c r="D15" s="1636" t="s">
        <v>597</v>
      </c>
      <c r="E15" s="925">
        <f>'11.2. Нови активи отч.год.'!E16</f>
        <v>188</v>
      </c>
      <c r="F15" s="881">
        <f>SUMIF('9.Инвестиционна програма'!$B$11:$B$34,$B15,'9.Инвестиционна програма'!F$11:F$34)*$E$5</f>
        <v>0</v>
      </c>
      <c r="G15" s="882">
        <f>SUMIF('9.Инвестиционна програма'!$B$11:$B$34,$B15,'9.Инвестиционна програма'!G$11:G$34)*$E$5</f>
        <v>0</v>
      </c>
      <c r="H15" s="882">
        <f>SUMIF('9.Инвестиционна програма'!$B$11:$B$34,$B15,'9.Инвестиционна програма'!H$11:H$34)*$E$5</f>
        <v>0</v>
      </c>
      <c r="I15" s="882">
        <f>SUMIF('9.Инвестиционна програма'!$B$11:$B$34,$B15,'9.Инвестиционна програма'!I$11:I$34)*$E$5</f>
        <v>0</v>
      </c>
      <c r="J15" s="882">
        <f>SUMIF('9.Инвестиционна програма'!$B$11:$B$34,$B15,'9.Инвестиционна програма'!J$11:J$34)*$E$5</f>
        <v>0</v>
      </c>
      <c r="K15" s="883">
        <f>SUMIF('9.Инвестиционна програма'!$B$11:$B$34,$B15,'9.Инвестиционна програма'!K$11:K$34)*$E$5</f>
        <v>0</v>
      </c>
      <c r="L15" s="1487">
        <f>'11.2. Нови активи отч.год.'!L16</f>
        <v>3</v>
      </c>
      <c r="M15" s="930">
        <f>SUMIF('9.Инвестиционна програма'!$B$36:$B$46,$B15,'9.Инвестиционна програма'!F$36:F$46)*$E$5</f>
        <v>0</v>
      </c>
      <c r="N15" s="931">
        <f>SUMIF('9.Инвестиционна програма'!$B$36:$B$46,$B15,'9.Инвестиционна програма'!G$36:G$46)*$E$5</f>
        <v>0</v>
      </c>
      <c r="O15" s="931">
        <f>SUMIF('9.Инвестиционна програма'!$B$36:$B$46,$B15,'9.Инвестиционна програма'!H$36:H$46)*$E$5</f>
        <v>0</v>
      </c>
      <c r="P15" s="931">
        <f>SUMIF('9.Инвестиционна програма'!$B$36:$B$46,$B15,'9.Инвестиционна програма'!I$36:I$46)*$E$5</f>
        <v>0</v>
      </c>
      <c r="Q15" s="931">
        <f>SUMIF('9.Инвестиционна програма'!$B$36:$B$46,$B15,'9.Инвестиционна програма'!J$36:J$46)*$E$5</f>
        <v>0</v>
      </c>
      <c r="R15" s="932">
        <f>SUMIF('9.Инвестиционна програма'!$B$36:$B$46,$B15,'9.Инвестиционна програма'!K$36:K$46)*$E$5</f>
        <v>0</v>
      </c>
      <c r="S15" s="926">
        <f>'11.2. Нови активи отч.год.'!S16</f>
        <v>10</v>
      </c>
      <c r="T15" s="927">
        <f>SUMIF('9.Инвестиционна програма'!$B$48:$B$55,$B15,'9.Инвестиционна програма'!F$48:F$55)*$E$5</f>
        <v>0</v>
      </c>
      <c r="U15" s="927">
        <f>SUMIF('9.Инвестиционна програма'!$B$48:$B$55,$B15,'9.Инвестиционна програма'!G$48:G$55)*$E$5</f>
        <v>0</v>
      </c>
      <c r="V15" s="927">
        <f>SUMIF('9.Инвестиционна програма'!$B$48:$B$55,$B15,'9.Инвестиционна програма'!H$48:H$55)*$E$5</f>
        <v>0</v>
      </c>
      <c r="W15" s="927">
        <f>SUMIF('9.Инвестиционна програма'!$B$48:$B$55,$B15,'9.Инвестиционна програма'!I$48:I$55)*$E$5</f>
        <v>0</v>
      </c>
      <c r="X15" s="927">
        <f>SUMIF('9.Инвестиционна програма'!$B$48:$B$55,$B15,'9.Инвестиционна програма'!J$48:J$55)*$E$5</f>
        <v>0</v>
      </c>
      <c r="Y15" s="927">
        <f>SUMIF('9.Инвестиционна програма'!$B$48:$B$55,$B15,'9.Инвестиционна програма'!K$48:K$55)*$E$5</f>
        <v>0</v>
      </c>
      <c r="Z15" s="926">
        <f>'11.2. Нови активи отч.год.'!Z16</f>
        <v>201</v>
      </c>
      <c r="AA15" s="930">
        <f>(SUMIF('9.Инвестиционна програма'!$B$57:$B$58,$B15,'9.Инвестиционна програма'!F$57:F$58)+SUMIF('9.Инвестиционна програма'!$B$60:$B$67,$B15,'9.Инвестиционна програма'!F$60:F$67))*$E$5</f>
        <v>335</v>
      </c>
      <c r="AB15" s="927">
        <f>(SUMIF('9.Инвестиционна програма'!$B$57:$B$58,$B15,'9.Инвестиционна програма'!G$57:G$58)+SUMIF('9.Инвестиционна програма'!$B$60:$B$67,$B15,'9.Инвестиционна програма'!G$60:G$67))*$E$5</f>
        <v>150</v>
      </c>
      <c r="AC15" s="927">
        <f>(SUMIF('9.Инвестиционна програма'!$B$57:$B$58,$B15,'9.Инвестиционна програма'!H$57:H$58)+SUMIF('9.Инвестиционна програма'!$B$60:$B$67,$B15,'9.Инвестиционна програма'!H$60:H$67))*$E$5</f>
        <v>150</v>
      </c>
      <c r="AD15" s="927">
        <f>(SUMIF('9.Инвестиционна програма'!$B$57:$B$58,$B15,'9.Инвестиционна програма'!I$57:I$58)+SUMIF('9.Инвестиционна програма'!$B$60:$B$67,$B15,'9.Инвестиционна програма'!I$60:I$67))*$E$5</f>
        <v>150</v>
      </c>
      <c r="AE15" s="927">
        <f>(SUMIF('9.Инвестиционна програма'!$B$57:$B$58,$B15,'9.Инвестиционна програма'!J$57:J$58)+SUMIF('9.Инвестиционна програма'!$B$60:$B$67,$B15,'9.Инвестиционна програма'!J$60:J$67))*$E$5</f>
        <v>150</v>
      </c>
      <c r="AF15" s="933">
        <f>(SUMIF('9.Инвестиционна програма'!$B$57:$B$58,$B15,'9.Инвестиционна програма'!K$57:K$58)+SUMIF('9.Инвестиционна програма'!$B$60:$B$67,$B15,'9.Инвестиционна програма'!K$60:K$67))*$E$5</f>
        <v>150</v>
      </c>
      <c r="AG15" s="307"/>
      <c r="AH15" s="566"/>
    </row>
    <row r="16" spans="1:35">
      <c r="A16" s="278"/>
      <c r="B16" s="1632">
        <v>20202</v>
      </c>
      <c r="C16" s="1633">
        <v>0.03</v>
      </c>
      <c r="D16" s="1636" t="s">
        <v>598</v>
      </c>
      <c r="E16" s="925">
        <f>'11.2. Нови активи отч.год.'!E17</f>
        <v>47</v>
      </c>
      <c r="F16" s="881">
        <f>SUMIF('9.Инвестиционна програма'!$B$11:$B$34,$B16,'9.Инвестиционна програма'!F$11:F$34)*$E$5</f>
        <v>0</v>
      </c>
      <c r="G16" s="882">
        <f>SUMIF('9.Инвестиционна програма'!$B$11:$B$34,$B16,'9.Инвестиционна програма'!G$11:G$34)*$E$5</f>
        <v>20</v>
      </c>
      <c r="H16" s="882">
        <f>SUMIF('9.Инвестиционна програма'!$B$11:$B$34,$B16,'9.Инвестиционна програма'!H$11:H$34)*$E$5</f>
        <v>10</v>
      </c>
      <c r="I16" s="882">
        <f>SUMIF('9.Инвестиционна програма'!$B$11:$B$34,$B16,'9.Инвестиционна програма'!I$11:I$34)*$E$5</f>
        <v>10</v>
      </c>
      <c r="J16" s="882">
        <f>SUMIF('9.Инвестиционна програма'!$B$11:$B$34,$B16,'9.Инвестиционна програма'!J$11:J$34)*$E$5</f>
        <v>10</v>
      </c>
      <c r="K16" s="883">
        <f>SUMIF('9.Инвестиционна програма'!$B$11:$B$34,$B16,'9.Инвестиционна програма'!K$11:K$34)*$E$5</f>
        <v>10</v>
      </c>
      <c r="L16" s="1487">
        <f>'11.2. Нови активи отч.год.'!L17</f>
        <v>0</v>
      </c>
      <c r="M16" s="930">
        <f>SUMIF('9.Инвестиционна програма'!$B$36:$B$46,$B16,'9.Инвестиционна програма'!F$36:F$46)*$E$5</f>
        <v>0</v>
      </c>
      <c r="N16" s="931">
        <f>SUMIF('9.Инвестиционна програма'!$B$36:$B$46,$B16,'9.Инвестиционна програма'!G$36:G$46)*$E$5</f>
        <v>0</v>
      </c>
      <c r="O16" s="931">
        <f>SUMIF('9.Инвестиционна програма'!$B$36:$B$46,$B16,'9.Инвестиционна програма'!H$36:H$46)*$E$5</f>
        <v>0</v>
      </c>
      <c r="P16" s="931">
        <f>SUMIF('9.Инвестиционна програма'!$B$36:$B$46,$B16,'9.Инвестиционна програма'!I$36:I$46)*$E$5</f>
        <v>0</v>
      </c>
      <c r="Q16" s="931">
        <f>SUMIF('9.Инвестиционна програма'!$B$36:$B$46,$B16,'9.Инвестиционна програма'!J$36:J$46)*$E$5</f>
        <v>0</v>
      </c>
      <c r="R16" s="932">
        <f>SUMIF('9.Инвестиционна програма'!$B$36:$B$46,$B16,'9.Инвестиционна програма'!K$36:K$46)*$E$5</f>
        <v>0</v>
      </c>
      <c r="S16" s="926">
        <f>'11.2. Нови активи отч.год.'!S17</f>
        <v>0</v>
      </c>
      <c r="T16" s="927">
        <f>SUMIF('9.Инвестиционна програма'!$B$48:$B$55,$B16,'9.Инвестиционна програма'!F$48:F$55)*$E$5</f>
        <v>0</v>
      </c>
      <c r="U16" s="927">
        <f>SUMIF('9.Инвестиционна програма'!$B$48:$B$55,$B16,'9.Инвестиционна програма'!G$48:G$55)*$E$5</f>
        <v>0</v>
      </c>
      <c r="V16" s="927">
        <f>SUMIF('9.Инвестиционна програма'!$B$48:$B$55,$B16,'9.Инвестиционна програма'!H$48:H$55)*$E$5</f>
        <v>0</v>
      </c>
      <c r="W16" s="927">
        <f>SUMIF('9.Инвестиционна програма'!$B$48:$B$55,$B16,'9.Инвестиционна програма'!I$48:I$55)*$E$5</f>
        <v>0</v>
      </c>
      <c r="X16" s="927">
        <f>SUMIF('9.Инвестиционна програма'!$B$48:$B$55,$B16,'9.Инвестиционна програма'!J$48:J$55)*$E$5</f>
        <v>0</v>
      </c>
      <c r="Y16" s="927">
        <f>SUMIF('9.Инвестиционна програма'!$B$48:$B$55,$B16,'9.Инвестиционна програма'!K$48:K$55)*$E$5</f>
        <v>0</v>
      </c>
      <c r="Z16" s="926">
        <f>'11.2. Нови активи отч.год.'!Z17</f>
        <v>47</v>
      </c>
      <c r="AA16" s="930">
        <f>(SUMIF('9.Инвестиционна програма'!$B$57:$B$58,$B16,'9.Инвестиционна програма'!F$57:F$58)+SUMIF('9.Инвестиционна програма'!$B$60:$B$67,$B16,'9.Инвестиционна програма'!F$60:F$67))*$E$5</f>
        <v>0</v>
      </c>
      <c r="AB16" s="927">
        <f>(SUMIF('9.Инвестиционна програма'!$B$57:$B$58,$B16,'9.Инвестиционна програма'!G$57:G$58)+SUMIF('9.Инвестиционна програма'!$B$60:$B$67,$B16,'9.Инвестиционна програма'!G$60:G$67))*$E$5</f>
        <v>0</v>
      </c>
      <c r="AC16" s="927">
        <f>(SUMIF('9.Инвестиционна програма'!$B$57:$B$58,$B16,'9.Инвестиционна програма'!H$57:H$58)+SUMIF('9.Инвестиционна програма'!$B$60:$B$67,$B16,'9.Инвестиционна програма'!H$60:H$67))*$E$5</f>
        <v>0</v>
      </c>
      <c r="AD16" s="927">
        <f>(SUMIF('9.Инвестиционна програма'!$B$57:$B$58,$B16,'9.Инвестиционна програма'!I$57:I$58)+SUMIF('9.Инвестиционна програма'!$B$60:$B$67,$B16,'9.Инвестиционна програма'!I$60:I$67))*$E$5</f>
        <v>0</v>
      </c>
      <c r="AE16" s="927">
        <f>(SUMIF('9.Инвестиционна програма'!$B$57:$B$58,$B16,'9.Инвестиционна програма'!J$57:J$58)+SUMIF('9.Инвестиционна програма'!$B$60:$B$67,$B16,'9.Инвестиционна програма'!J$60:J$67))*$E$5</f>
        <v>0</v>
      </c>
      <c r="AF16" s="933">
        <f>(SUMIF('9.Инвестиционна програма'!$B$57:$B$58,$B16,'9.Инвестиционна програма'!K$57:K$58)+SUMIF('9.Инвестиционна програма'!$B$60:$B$67,$B16,'9.Инвестиционна програма'!K$60:K$67))*$E$5</f>
        <v>0</v>
      </c>
      <c r="AG16" s="307"/>
      <c r="AH16" s="566"/>
    </row>
    <row r="17" spans="1:34" s="317" customFormat="1" ht="12.75" customHeight="1">
      <c r="A17" s="938">
        <v>3</v>
      </c>
      <c r="B17" s="1808">
        <v>203</v>
      </c>
      <c r="C17" s="1809"/>
      <c r="D17" s="1811" t="s">
        <v>577</v>
      </c>
      <c r="E17" s="940">
        <f t="shared" ref="E17:AF17" si="7">SUM(E18:E28)-E21-E24</f>
        <v>196</v>
      </c>
      <c r="F17" s="885">
        <f t="shared" si="7"/>
        <v>1425</v>
      </c>
      <c r="G17" s="886">
        <f t="shared" si="7"/>
        <v>189</v>
      </c>
      <c r="H17" s="886">
        <f t="shared" si="7"/>
        <v>189</v>
      </c>
      <c r="I17" s="886">
        <f t="shared" si="7"/>
        <v>189</v>
      </c>
      <c r="J17" s="886">
        <f t="shared" si="7"/>
        <v>149</v>
      </c>
      <c r="K17" s="887">
        <f t="shared" si="7"/>
        <v>149</v>
      </c>
      <c r="L17" s="2062">
        <f t="shared" si="7"/>
        <v>0</v>
      </c>
      <c r="M17" s="885">
        <f t="shared" si="7"/>
        <v>0</v>
      </c>
      <c r="N17" s="886">
        <f t="shared" si="7"/>
        <v>220</v>
      </c>
      <c r="O17" s="886">
        <f t="shared" si="7"/>
        <v>0</v>
      </c>
      <c r="P17" s="886">
        <f t="shared" si="7"/>
        <v>0</v>
      </c>
      <c r="Q17" s="886">
        <f t="shared" si="7"/>
        <v>0</v>
      </c>
      <c r="R17" s="887">
        <f t="shared" si="7"/>
        <v>0</v>
      </c>
      <c r="S17" s="884">
        <f t="shared" si="7"/>
        <v>50</v>
      </c>
      <c r="T17" s="888">
        <f t="shared" si="7"/>
        <v>30</v>
      </c>
      <c r="U17" s="886">
        <f t="shared" si="7"/>
        <v>20</v>
      </c>
      <c r="V17" s="886">
        <f t="shared" si="7"/>
        <v>160</v>
      </c>
      <c r="W17" s="886">
        <f t="shared" si="7"/>
        <v>20</v>
      </c>
      <c r="X17" s="886">
        <f t="shared" si="7"/>
        <v>20</v>
      </c>
      <c r="Y17" s="887">
        <f t="shared" si="7"/>
        <v>20</v>
      </c>
      <c r="Z17" s="884">
        <f t="shared" si="7"/>
        <v>246</v>
      </c>
      <c r="AA17" s="888">
        <f t="shared" si="7"/>
        <v>0</v>
      </c>
      <c r="AB17" s="886">
        <f t="shared" si="7"/>
        <v>0</v>
      </c>
      <c r="AC17" s="886">
        <f t="shared" si="7"/>
        <v>0</v>
      </c>
      <c r="AD17" s="886">
        <f t="shared" si="7"/>
        <v>0</v>
      </c>
      <c r="AE17" s="886">
        <f t="shared" si="7"/>
        <v>0</v>
      </c>
      <c r="AF17" s="887">
        <f t="shared" si="7"/>
        <v>0</v>
      </c>
      <c r="AH17" s="567"/>
    </row>
    <row r="18" spans="1:34">
      <c r="A18" s="278"/>
      <c r="B18" s="1632">
        <v>20301</v>
      </c>
      <c r="C18" s="1633">
        <v>0.1</v>
      </c>
      <c r="D18" s="1626" t="s">
        <v>599</v>
      </c>
      <c r="E18" s="925">
        <f>'11.2. Нови активи отч.год.'!E19</f>
        <v>15</v>
      </c>
      <c r="F18" s="881">
        <f>SUMIF('9.Инвестиционна програма'!$B$11:$B$34,$B18,'9.Инвестиционна програма'!F$11:F$34)*$E$5</f>
        <v>0</v>
      </c>
      <c r="G18" s="882">
        <f>SUMIF('9.Инвестиционна програма'!$B$11:$B$34,$B18,'9.Инвестиционна програма'!G$11:G$34)*$E$5</f>
        <v>0</v>
      </c>
      <c r="H18" s="882">
        <f>SUMIF('9.Инвестиционна програма'!$B$11:$B$34,$B18,'9.Инвестиционна програма'!H$11:H$34)*$E$5</f>
        <v>0</v>
      </c>
      <c r="I18" s="882">
        <f>SUMIF('9.Инвестиционна програма'!$B$11:$B$34,$B18,'9.Инвестиционна програма'!I$11:I$34)*$E$5</f>
        <v>0</v>
      </c>
      <c r="J18" s="882">
        <f>SUMIF('9.Инвестиционна програма'!$B$11:$B$34,$B18,'9.Инвестиционна програма'!J$11:J$34)*$E$5</f>
        <v>0</v>
      </c>
      <c r="K18" s="883">
        <f>SUMIF('9.Инвестиционна програма'!$B$11:$B$34,$B18,'9.Инвестиционна програма'!K$11:K$34)*$E$5</f>
        <v>0</v>
      </c>
      <c r="L18" s="1487">
        <f>'11.2. Нови активи отч.год.'!L19</f>
        <v>0</v>
      </c>
      <c r="M18" s="930">
        <f>SUMIF('9.Инвестиционна програма'!$B$36:$B$46,$B18,'9.Инвестиционна програма'!F$36:F$46)*$E$5</f>
        <v>0</v>
      </c>
      <c r="N18" s="931">
        <f>SUMIF('9.Инвестиционна програма'!$B$36:$B$46,$B18,'9.Инвестиционна програма'!G$36:G$46)*$E$5</f>
        <v>0</v>
      </c>
      <c r="O18" s="931">
        <f>SUMIF('9.Инвестиционна програма'!$B$36:$B$46,$B18,'9.Инвестиционна програма'!H$36:H$46)*$E$5</f>
        <v>0</v>
      </c>
      <c r="P18" s="931">
        <f>SUMIF('9.Инвестиционна програма'!$B$36:$B$46,$B18,'9.Инвестиционна програма'!I$36:I$46)*$E$5</f>
        <v>0</v>
      </c>
      <c r="Q18" s="931">
        <f>SUMIF('9.Инвестиционна програма'!$B$36:$B$46,$B18,'9.Инвестиционна програма'!J$36:J$46)*$E$5</f>
        <v>0</v>
      </c>
      <c r="R18" s="932">
        <f>SUMIF('9.Инвестиционна програма'!$B$36:$B$46,$B18,'9.Инвестиционна програма'!K$36:K$46)*$E$5</f>
        <v>0</v>
      </c>
      <c r="S18" s="926">
        <f>'11.2. Нови активи отч.год.'!S19</f>
        <v>0</v>
      </c>
      <c r="T18" s="927">
        <f>SUMIF('9.Инвестиционна програма'!$B$48:$B$55,$B18,'9.Инвестиционна програма'!F$48:F$55)*$E$5</f>
        <v>0</v>
      </c>
      <c r="U18" s="927">
        <f>SUMIF('9.Инвестиционна програма'!$B$48:$B$55,$B18,'9.Инвестиционна програма'!G$48:G$55)*$E$5</f>
        <v>0</v>
      </c>
      <c r="V18" s="927">
        <f>SUMIF('9.Инвестиционна програма'!$B$48:$B$55,$B18,'9.Инвестиционна програма'!H$48:H$55)*$E$5</f>
        <v>0</v>
      </c>
      <c r="W18" s="927">
        <f>SUMIF('9.Инвестиционна програма'!$B$48:$B$55,$B18,'9.Инвестиционна програма'!I$48:I$55)*$E$5</f>
        <v>0</v>
      </c>
      <c r="X18" s="927">
        <f>SUMIF('9.Инвестиционна програма'!$B$48:$B$55,$B18,'9.Инвестиционна програма'!J$48:J$55)*$E$5</f>
        <v>0</v>
      </c>
      <c r="Y18" s="927">
        <f>SUMIF('9.Инвестиционна програма'!$B$48:$B$55,$B18,'9.Инвестиционна програма'!K$48:K$55)*$E$5</f>
        <v>0</v>
      </c>
      <c r="Z18" s="926">
        <f>'11.2. Нови активи отч.год.'!Z19</f>
        <v>15</v>
      </c>
      <c r="AA18" s="930">
        <f>(SUMIF('9.Инвестиционна програма'!$B$57:$B$58,$B18,'9.Инвестиционна програма'!F$57:F$58)+SUMIF('9.Инвестиционна програма'!$B$60:$B$67,$B18,'9.Инвестиционна програма'!F$60:F$67))*$E$5</f>
        <v>0</v>
      </c>
      <c r="AB18" s="927">
        <f>(SUMIF('9.Инвестиционна програма'!$B$57:$B$58,$B18,'9.Инвестиционна програма'!G$57:G$58)+SUMIF('9.Инвестиционна програма'!$B$60:$B$67,$B18,'9.Инвестиционна програма'!G$60:G$67))*$E$5</f>
        <v>0</v>
      </c>
      <c r="AC18" s="927">
        <f>(SUMIF('9.Инвестиционна програма'!$B$57:$B$58,$B18,'9.Инвестиционна програма'!H$57:H$58)+SUMIF('9.Инвестиционна програма'!$B$60:$B$67,$B18,'9.Инвестиционна програма'!H$60:H$67))*$E$5</f>
        <v>0</v>
      </c>
      <c r="AD18" s="927">
        <f>(SUMIF('9.Инвестиционна програма'!$B$57:$B$58,$B18,'9.Инвестиционна програма'!I$57:I$58)+SUMIF('9.Инвестиционна програма'!$B$60:$B$67,$B18,'9.Инвестиционна програма'!I$60:I$67))*$E$5</f>
        <v>0</v>
      </c>
      <c r="AE18" s="927">
        <f>(SUMIF('9.Инвестиционна програма'!$B$57:$B$58,$B18,'9.Инвестиционна програма'!J$57:J$58)+SUMIF('9.Инвестиционна програма'!$B$60:$B$67,$B18,'9.Инвестиционна програма'!J$60:J$67))*$E$5</f>
        <v>0</v>
      </c>
      <c r="AF18" s="933">
        <f>(SUMIF('9.Инвестиционна програма'!$B$57:$B$58,$B18,'9.Инвестиционна програма'!K$57:K$58)+SUMIF('9.Инвестиционна програма'!$B$60:$B$67,$B18,'9.Инвестиционна програма'!K$60:K$67))*$E$5</f>
        <v>0</v>
      </c>
      <c r="AG18" s="307"/>
      <c r="AH18" s="566"/>
    </row>
    <row r="19" spans="1:34">
      <c r="A19" s="278"/>
      <c r="B19" s="1632">
        <v>20302</v>
      </c>
      <c r="C19" s="1633">
        <v>0.1</v>
      </c>
      <c r="D19" s="1626" t="s">
        <v>600</v>
      </c>
      <c r="E19" s="925">
        <f>'11.2. Нови активи отч.год.'!E20</f>
        <v>3</v>
      </c>
      <c r="F19" s="881">
        <f>SUMIF('9.Инвестиционна програма'!$B$11:$B$34,$B19,'9.Инвестиционна програма'!F$11:F$34)*$E$5</f>
        <v>0</v>
      </c>
      <c r="G19" s="882">
        <f>SUMIF('9.Инвестиционна програма'!$B$11:$B$34,$B19,'9.Инвестиционна програма'!G$11:G$34)*$E$5</f>
        <v>0</v>
      </c>
      <c r="H19" s="882">
        <f>SUMIF('9.Инвестиционна програма'!$B$11:$B$34,$B19,'9.Инвестиционна програма'!H$11:H$34)*$E$5</f>
        <v>0</v>
      </c>
      <c r="I19" s="882">
        <f>SUMIF('9.Инвестиционна програма'!$B$11:$B$34,$B19,'9.Инвестиционна програма'!I$11:I$34)*$E$5</f>
        <v>0</v>
      </c>
      <c r="J19" s="882">
        <f>SUMIF('9.Инвестиционна програма'!$B$11:$B$34,$B19,'9.Инвестиционна програма'!J$11:J$34)*$E$5</f>
        <v>0</v>
      </c>
      <c r="K19" s="883">
        <f>SUMIF('9.Инвестиционна програма'!$B$11:$B$34,$B19,'9.Инвестиционна програма'!K$11:K$34)*$E$5</f>
        <v>0</v>
      </c>
      <c r="L19" s="1487">
        <f>'11.2. Нови активи отч.год.'!L20</f>
        <v>0</v>
      </c>
      <c r="M19" s="930">
        <f>SUMIF('9.Инвестиционна програма'!$B$36:$B$46,$B19,'9.Инвестиционна програма'!F$36:F$46)*$E$5</f>
        <v>0</v>
      </c>
      <c r="N19" s="931">
        <f>SUMIF('9.Инвестиционна програма'!$B$36:$B$46,$B19,'9.Инвестиционна програма'!G$36:G$46)*$E$5</f>
        <v>0</v>
      </c>
      <c r="O19" s="931">
        <f>SUMIF('9.Инвестиционна програма'!$B$36:$B$46,$B19,'9.Инвестиционна програма'!H$36:H$46)*$E$5</f>
        <v>0</v>
      </c>
      <c r="P19" s="931">
        <f>SUMIF('9.Инвестиционна програма'!$B$36:$B$46,$B19,'9.Инвестиционна програма'!I$36:I$46)*$E$5</f>
        <v>0</v>
      </c>
      <c r="Q19" s="931">
        <f>SUMIF('9.Инвестиционна програма'!$B$36:$B$46,$B19,'9.Инвестиционна програма'!J$36:J$46)*$E$5</f>
        <v>0</v>
      </c>
      <c r="R19" s="932">
        <f>SUMIF('9.Инвестиционна програма'!$B$36:$B$46,$B19,'9.Инвестиционна програма'!K$36:K$46)*$E$5</f>
        <v>0</v>
      </c>
      <c r="S19" s="926">
        <f>'11.2. Нови активи отч.год.'!S20</f>
        <v>4</v>
      </c>
      <c r="T19" s="927">
        <f>SUMIF('9.Инвестиционна програма'!$B$48:$B$55,$B19,'9.Инвестиционна програма'!F$48:F$55)*$E$5</f>
        <v>0</v>
      </c>
      <c r="U19" s="927">
        <f>SUMIF('9.Инвестиционна програма'!$B$48:$B$55,$B19,'9.Инвестиционна програма'!G$48:G$55)*$E$5</f>
        <v>0</v>
      </c>
      <c r="V19" s="927">
        <f>SUMIF('9.Инвестиционна програма'!$B$48:$B$55,$B19,'9.Инвестиционна програма'!H$48:H$55)*$E$5</f>
        <v>0</v>
      </c>
      <c r="W19" s="927">
        <f>SUMIF('9.Инвестиционна програма'!$B$48:$B$55,$B19,'9.Инвестиционна програма'!I$48:I$55)*$E$5</f>
        <v>0</v>
      </c>
      <c r="X19" s="927">
        <f>SUMIF('9.Инвестиционна програма'!$B$48:$B$55,$B19,'9.Инвестиционна програма'!J$48:J$55)*$E$5</f>
        <v>0</v>
      </c>
      <c r="Y19" s="927">
        <f>SUMIF('9.Инвестиционна програма'!$B$48:$B$55,$B19,'9.Инвестиционна програма'!K$48:K$55)*$E$5</f>
        <v>0</v>
      </c>
      <c r="Z19" s="926">
        <f>'11.2. Нови активи отч.год.'!Z20</f>
        <v>7</v>
      </c>
      <c r="AA19" s="930">
        <f>(SUMIF('9.Инвестиционна програма'!$B$57:$B$58,$B19,'9.Инвестиционна програма'!F$57:F$58)+SUMIF('9.Инвестиционна програма'!$B$60:$B$67,$B19,'9.Инвестиционна програма'!F$60:F$67))*$E$5</f>
        <v>0</v>
      </c>
      <c r="AB19" s="927">
        <f>(SUMIF('9.Инвестиционна програма'!$B$57:$B$58,$B19,'9.Инвестиционна програма'!G$57:G$58)+SUMIF('9.Инвестиционна програма'!$B$60:$B$67,$B19,'9.Инвестиционна програма'!G$60:G$67))*$E$5</f>
        <v>0</v>
      </c>
      <c r="AC19" s="927">
        <f>(SUMIF('9.Инвестиционна програма'!$B$57:$B$58,$B19,'9.Инвестиционна програма'!H$57:H$58)+SUMIF('9.Инвестиционна програма'!$B$60:$B$67,$B19,'9.Инвестиционна програма'!H$60:H$67))*$E$5</f>
        <v>0</v>
      </c>
      <c r="AD19" s="927">
        <f>(SUMIF('9.Инвестиционна програма'!$B$57:$B$58,$B19,'9.Инвестиционна програма'!I$57:I$58)+SUMIF('9.Инвестиционна програма'!$B$60:$B$67,$B19,'9.Инвестиционна програма'!I$60:I$67))*$E$5</f>
        <v>0</v>
      </c>
      <c r="AE19" s="927">
        <f>(SUMIF('9.Инвестиционна програма'!$B$57:$B$58,$B19,'9.Инвестиционна програма'!J$57:J$58)+SUMIF('9.Инвестиционна програма'!$B$60:$B$67,$B19,'9.Инвестиционна програма'!J$60:J$67))*$E$5</f>
        <v>0</v>
      </c>
      <c r="AF19" s="933">
        <f>(SUMIF('9.Инвестиционна програма'!$B$57:$B$58,$B19,'9.Инвестиционна програма'!K$57:K$58)+SUMIF('9.Инвестиционна програма'!$B$60:$B$67,$B19,'9.Инвестиционна програма'!K$60:K$67))*$E$5</f>
        <v>0</v>
      </c>
      <c r="AG19" s="307"/>
      <c r="AH19" s="566"/>
    </row>
    <row r="20" spans="1:34">
      <c r="A20" s="278"/>
      <c r="B20" s="1632">
        <v>20303</v>
      </c>
      <c r="C20" s="1633">
        <v>0.1</v>
      </c>
      <c r="D20" s="1626" t="s">
        <v>578</v>
      </c>
      <c r="E20" s="925">
        <f>'11.2. Нови активи отч.год.'!E21</f>
        <v>4</v>
      </c>
      <c r="F20" s="881">
        <f>SUMIF('9.Инвестиционна програма'!$B$11:$B$34,$B20,'9.Инвестиционна програма'!F$11:F$34)*$E$5</f>
        <v>205</v>
      </c>
      <c r="G20" s="882">
        <f>SUMIF('9.Инвестиционна програма'!$B$11:$B$34,$B20,'9.Инвестиционна програма'!G$11:G$34)*$E$5</f>
        <v>20</v>
      </c>
      <c r="H20" s="882">
        <f>SUMIF('9.Инвестиционна програма'!$B$11:$B$34,$B20,'9.Инвестиционна програма'!H$11:H$34)*$E$5</f>
        <v>20</v>
      </c>
      <c r="I20" s="882">
        <f>SUMIF('9.Инвестиционна програма'!$B$11:$B$34,$B20,'9.Инвестиционна програма'!I$11:I$34)*$E$5</f>
        <v>20</v>
      </c>
      <c r="J20" s="882">
        <f>SUMIF('9.Инвестиционна програма'!$B$11:$B$34,$B20,'9.Инвестиционна програма'!J$11:J$34)*$E$5</f>
        <v>20</v>
      </c>
      <c r="K20" s="883">
        <f>SUMIF('9.Инвестиционна програма'!$B$11:$B$34,$B20,'9.Инвестиционна програма'!K$11:K$34)*$E$5</f>
        <v>20</v>
      </c>
      <c r="L20" s="1487">
        <f>'11.2. Нови активи отч.год.'!L21</f>
        <v>0</v>
      </c>
      <c r="M20" s="930">
        <f>SUMIF('9.Инвестиционна програма'!$B$36:$B$46,$B20,'9.Инвестиционна програма'!F$36:F$46)*$E$5</f>
        <v>0</v>
      </c>
      <c r="N20" s="931">
        <f>SUMIF('9.Инвестиционна програма'!$B$36:$B$46,$B20,'9.Инвестиционна програма'!G$36:G$46)*$E$5</f>
        <v>220</v>
      </c>
      <c r="O20" s="931">
        <f>SUMIF('9.Инвестиционна програма'!$B$36:$B$46,$B20,'9.Инвестиционна програма'!H$36:H$46)*$E$5</f>
        <v>0</v>
      </c>
      <c r="P20" s="931">
        <f>SUMIF('9.Инвестиционна програма'!$B$36:$B$46,$B20,'9.Инвестиционна програма'!I$36:I$46)*$E$5</f>
        <v>0</v>
      </c>
      <c r="Q20" s="931">
        <f>SUMIF('9.Инвестиционна програма'!$B$36:$B$46,$B20,'9.Инвестиционна програма'!J$36:J$46)*$E$5</f>
        <v>0</v>
      </c>
      <c r="R20" s="932">
        <f>SUMIF('9.Инвестиционна програма'!$B$36:$B$46,$B20,'9.Инвестиционна програма'!K$36:K$46)*$E$5</f>
        <v>0</v>
      </c>
      <c r="S20" s="926">
        <f>'11.2. Нови активи отч.год.'!S21</f>
        <v>0</v>
      </c>
      <c r="T20" s="927">
        <f>SUMIF('9.Инвестиционна програма'!$B$48:$B$55,$B20,'9.Инвестиционна програма'!F$48:F$55)*$E$5</f>
        <v>20</v>
      </c>
      <c r="U20" s="927">
        <f>SUMIF('9.Инвестиционна програма'!$B$48:$B$55,$B20,'9.Инвестиционна програма'!G$48:G$55)*$E$5</f>
        <v>10</v>
      </c>
      <c r="V20" s="927">
        <f>SUMIF('9.Инвестиционна програма'!$B$48:$B$55,$B20,'9.Инвестиционна програма'!H$48:H$55)*$E$5</f>
        <v>150</v>
      </c>
      <c r="W20" s="927">
        <f>SUMIF('9.Инвестиционна програма'!$B$48:$B$55,$B20,'9.Инвестиционна програма'!I$48:I$55)*$E$5</f>
        <v>10</v>
      </c>
      <c r="X20" s="927">
        <f>SUMIF('9.Инвестиционна програма'!$B$48:$B$55,$B20,'9.Инвестиционна програма'!J$48:J$55)*$E$5</f>
        <v>10</v>
      </c>
      <c r="Y20" s="927">
        <f>SUMIF('9.Инвестиционна програма'!$B$48:$B$55,$B20,'9.Инвестиционна програма'!K$48:K$55)*$E$5</f>
        <v>10</v>
      </c>
      <c r="Z20" s="926">
        <f>'11.2. Нови активи отч.год.'!Z21</f>
        <v>4</v>
      </c>
      <c r="AA20" s="930">
        <f>(SUMIF('9.Инвестиционна програма'!$B$57:$B$58,$B20,'9.Инвестиционна програма'!F$57:F$58)+SUMIF('9.Инвестиционна програма'!$B$60:$B$67,$B20,'9.Инвестиционна програма'!F$60:F$67))*$E$5</f>
        <v>0</v>
      </c>
      <c r="AB20" s="927">
        <f>(SUMIF('9.Инвестиционна програма'!$B$57:$B$58,$B20,'9.Инвестиционна програма'!G$57:G$58)+SUMIF('9.Инвестиционна програма'!$B$60:$B$67,$B20,'9.Инвестиционна програма'!G$60:G$67))*$E$5</f>
        <v>0</v>
      </c>
      <c r="AC20" s="927">
        <f>(SUMIF('9.Инвестиционна програма'!$B$57:$B$58,$B20,'9.Инвестиционна програма'!H$57:H$58)+SUMIF('9.Инвестиционна програма'!$B$60:$B$67,$B20,'9.Инвестиционна програма'!H$60:H$67))*$E$5</f>
        <v>0</v>
      </c>
      <c r="AD20" s="927">
        <f>(SUMIF('9.Инвестиционна програма'!$B$57:$B$58,$B20,'9.Инвестиционна програма'!I$57:I$58)+SUMIF('9.Инвестиционна програма'!$B$60:$B$67,$B20,'9.Инвестиционна програма'!I$60:I$67))*$E$5</f>
        <v>0</v>
      </c>
      <c r="AE20" s="927">
        <f>(SUMIF('9.Инвестиционна програма'!$B$57:$B$58,$B20,'9.Инвестиционна програма'!J$57:J$58)+SUMIF('9.Инвестиционна програма'!$B$60:$B$67,$B20,'9.Инвестиционна програма'!J$60:J$67))*$E$5</f>
        <v>0</v>
      </c>
      <c r="AF20" s="933">
        <f>(SUMIF('9.Инвестиционна програма'!$B$57:$B$58,$B20,'9.Инвестиционна програма'!K$57:K$58)+SUMIF('9.Инвестиционна програма'!$B$60:$B$67,$B20,'9.Инвестиционна програма'!K$60:K$67))*$E$5</f>
        <v>0</v>
      </c>
      <c r="AG20" s="307"/>
      <c r="AH20" s="566"/>
    </row>
    <row r="21" spans="1:34">
      <c r="A21" s="278"/>
      <c r="B21" s="1632">
        <v>20304</v>
      </c>
      <c r="C21" s="1633">
        <v>0.1</v>
      </c>
      <c r="D21" s="1626" t="s">
        <v>579</v>
      </c>
      <c r="E21" s="941">
        <f t="shared" ref="E21:AF21" si="8">SUM(E22:E23)</f>
        <v>43</v>
      </c>
      <c r="F21" s="942">
        <f t="shared" si="8"/>
        <v>0</v>
      </c>
      <c r="G21" s="943">
        <f t="shared" si="8"/>
        <v>0</v>
      </c>
      <c r="H21" s="943">
        <f t="shared" si="8"/>
        <v>0</v>
      </c>
      <c r="I21" s="943">
        <f t="shared" si="8"/>
        <v>0</v>
      </c>
      <c r="J21" s="943">
        <f t="shared" si="8"/>
        <v>0</v>
      </c>
      <c r="K21" s="944">
        <f t="shared" si="8"/>
        <v>0</v>
      </c>
      <c r="L21" s="2063">
        <f t="shared" si="8"/>
        <v>0</v>
      </c>
      <c r="M21" s="942">
        <f t="shared" si="8"/>
        <v>0</v>
      </c>
      <c r="N21" s="943">
        <f t="shared" si="8"/>
        <v>0</v>
      </c>
      <c r="O21" s="943">
        <f t="shared" si="8"/>
        <v>0</v>
      </c>
      <c r="P21" s="943">
        <f t="shared" si="8"/>
        <v>0</v>
      </c>
      <c r="Q21" s="943">
        <f t="shared" si="8"/>
        <v>0</v>
      </c>
      <c r="R21" s="944">
        <f t="shared" si="8"/>
        <v>0</v>
      </c>
      <c r="S21" s="945">
        <f t="shared" si="8"/>
        <v>0</v>
      </c>
      <c r="T21" s="946">
        <f t="shared" si="8"/>
        <v>0</v>
      </c>
      <c r="U21" s="943">
        <f t="shared" si="8"/>
        <v>0</v>
      </c>
      <c r="V21" s="943">
        <f t="shared" si="8"/>
        <v>0</v>
      </c>
      <c r="W21" s="943">
        <f t="shared" si="8"/>
        <v>0</v>
      </c>
      <c r="X21" s="943">
        <f t="shared" si="8"/>
        <v>0</v>
      </c>
      <c r="Y21" s="944">
        <f t="shared" si="8"/>
        <v>0</v>
      </c>
      <c r="Z21" s="945">
        <f t="shared" si="8"/>
        <v>43</v>
      </c>
      <c r="AA21" s="946">
        <f t="shared" si="8"/>
        <v>0</v>
      </c>
      <c r="AB21" s="943">
        <f t="shared" si="8"/>
        <v>0</v>
      </c>
      <c r="AC21" s="943">
        <f t="shared" si="8"/>
        <v>0</v>
      </c>
      <c r="AD21" s="943">
        <f t="shared" si="8"/>
        <v>0</v>
      </c>
      <c r="AE21" s="943">
        <f t="shared" si="8"/>
        <v>0</v>
      </c>
      <c r="AF21" s="944">
        <f t="shared" si="8"/>
        <v>0</v>
      </c>
      <c r="AH21" s="566"/>
    </row>
    <row r="22" spans="1:34">
      <c r="A22" s="278"/>
      <c r="B22" s="1812">
        <v>2030401</v>
      </c>
      <c r="C22" s="1813">
        <v>0.1</v>
      </c>
      <c r="D22" s="1814" t="s">
        <v>1375</v>
      </c>
      <c r="E22" s="925">
        <f>'11.2. Нови активи отч.год.'!E23</f>
        <v>43</v>
      </c>
      <c r="F22" s="881">
        <f>SUMIF('9.Инвестиционна програма'!$B$11:$B$34,$B22,'9.Инвестиционна програма'!F$11:F$34)*$E$5</f>
        <v>0</v>
      </c>
      <c r="G22" s="882">
        <f>SUMIF('9.Инвестиционна програма'!$B$11:$B$34,$B22,'9.Инвестиционна програма'!G$11:G$34)*$E$5</f>
        <v>0</v>
      </c>
      <c r="H22" s="882">
        <f>SUMIF('9.Инвестиционна програма'!$B$11:$B$34,$B22,'9.Инвестиционна програма'!H$11:H$34)*$E$5</f>
        <v>0</v>
      </c>
      <c r="I22" s="882">
        <f>SUMIF('9.Инвестиционна програма'!$B$11:$B$34,$B22,'9.Инвестиционна програма'!I$11:I$34)*$E$5</f>
        <v>0</v>
      </c>
      <c r="J22" s="882">
        <f>SUMIF('9.Инвестиционна програма'!$B$11:$B$34,$B22,'9.Инвестиционна програма'!J$11:J$34)*$E$5</f>
        <v>0</v>
      </c>
      <c r="K22" s="883">
        <f>SUMIF('9.Инвестиционна програма'!$B$11:$B$34,$B22,'9.Инвестиционна програма'!K$11:K$34)*$E$5</f>
        <v>0</v>
      </c>
      <c r="L22" s="1487">
        <f>'11.2. Нови активи отч.год.'!L23</f>
        <v>0</v>
      </c>
      <c r="M22" s="930">
        <f>SUMIF('9.Инвестиционна програма'!$B$36:$B$46,$B22,'9.Инвестиционна програма'!F$36:F$46)*$E$5</f>
        <v>0</v>
      </c>
      <c r="N22" s="931">
        <f>SUMIF('9.Инвестиционна програма'!$B$36:$B$46,$B22,'9.Инвестиционна програма'!G$36:G$46)*$E$5</f>
        <v>0</v>
      </c>
      <c r="O22" s="931">
        <f>SUMIF('9.Инвестиционна програма'!$B$36:$B$46,$B22,'9.Инвестиционна програма'!H$36:H$46)*$E$5</f>
        <v>0</v>
      </c>
      <c r="P22" s="931">
        <f>SUMIF('9.Инвестиционна програма'!$B$36:$B$46,$B22,'9.Инвестиционна програма'!I$36:I$46)*$E$5</f>
        <v>0</v>
      </c>
      <c r="Q22" s="931">
        <f>SUMIF('9.Инвестиционна програма'!$B$36:$B$46,$B22,'9.Инвестиционна програма'!J$36:J$46)*$E$5</f>
        <v>0</v>
      </c>
      <c r="R22" s="932">
        <f>SUMIF('9.Инвестиционна програма'!$B$36:$B$46,$B22,'9.Инвестиционна програма'!K$36:K$46)*$E$5</f>
        <v>0</v>
      </c>
      <c r="S22" s="926">
        <f>'11.2. Нови активи отч.год.'!S23</f>
        <v>0</v>
      </c>
      <c r="T22" s="927">
        <f>SUMIF('9.Инвестиционна програма'!$B$48:$B$55,$B22,'9.Инвестиционна програма'!F$48:F$55)*$E$5</f>
        <v>0</v>
      </c>
      <c r="U22" s="927">
        <f>SUMIF('9.Инвестиционна програма'!$B$48:$B$55,$B22,'9.Инвестиционна програма'!G$48:G$55)*$E$5</f>
        <v>0</v>
      </c>
      <c r="V22" s="927">
        <f>SUMIF('9.Инвестиционна програма'!$B$48:$B$55,$B22,'9.Инвестиционна програма'!H$48:H$55)*$E$5</f>
        <v>0</v>
      </c>
      <c r="W22" s="927">
        <f>SUMIF('9.Инвестиционна програма'!$B$48:$B$55,$B22,'9.Инвестиционна програма'!I$48:I$55)*$E$5</f>
        <v>0</v>
      </c>
      <c r="X22" s="927">
        <f>SUMIF('9.Инвестиционна програма'!$B$48:$B$55,$B22,'9.Инвестиционна програма'!J$48:J$55)*$E$5</f>
        <v>0</v>
      </c>
      <c r="Y22" s="927">
        <f>SUMIF('9.Инвестиционна програма'!$B$48:$B$55,$B22,'9.Инвестиционна програма'!K$48:K$55)*$E$5</f>
        <v>0</v>
      </c>
      <c r="Z22" s="926">
        <f>'11.2. Нови активи отч.год.'!Z23</f>
        <v>43</v>
      </c>
      <c r="AA22" s="930">
        <f>(SUMIF('9.Инвестиционна програма'!$B$57:$B$58,$B22,'9.Инвестиционна програма'!F$57:F$58)+SUMIF('9.Инвестиционна програма'!$B$60:$B$67,$B22,'9.Инвестиционна програма'!F$60:F$67))*$E$5</f>
        <v>0</v>
      </c>
      <c r="AB22" s="927">
        <f>(SUMIF('9.Инвестиционна програма'!$B$57:$B$58,$B22,'9.Инвестиционна програма'!G$57:G$58)+SUMIF('9.Инвестиционна програма'!$B$60:$B$67,$B22,'9.Инвестиционна програма'!G$60:G$67))*$E$5</f>
        <v>0</v>
      </c>
      <c r="AC22" s="927">
        <f>(SUMIF('9.Инвестиционна програма'!$B$57:$B$58,$B22,'9.Инвестиционна програма'!H$57:H$58)+SUMIF('9.Инвестиционна програма'!$B$60:$B$67,$B22,'9.Инвестиционна програма'!H$60:H$67))*$E$5</f>
        <v>0</v>
      </c>
      <c r="AD22" s="927">
        <f>(SUMIF('9.Инвестиционна програма'!$B$57:$B$58,$B22,'9.Инвестиционна програма'!I$57:I$58)+SUMIF('9.Инвестиционна програма'!$B$60:$B$67,$B22,'9.Инвестиционна програма'!I$60:I$67))*$E$5</f>
        <v>0</v>
      </c>
      <c r="AE22" s="927">
        <f>(SUMIF('9.Инвестиционна програма'!$B$57:$B$58,$B22,'9.Инвестиционна програма'!J$57:J$58)+SUMIF('9.Инвестиционна програма'!$B$60:$B$67,$B22,'9.Инвестиционна програма'!J$60:J$67))*$E$5</f>
        <v>0</v>
      </c>
      <c r="AF22" s="933">
        <f>(SUMIF('9.Инвестиционна програма'!$B$57:$B$58,$B22,'9.Инвестиционна програма'!K$57:K$58)+SUMIF('9.Инвестиционна програма'!$B$60:$B$67,$B22,'9.Инвестиционна програма'!K$60:K$67))*$E$5</f>
        <v>0</v>
      </c>
      <c r="AG22" s="307"/>
      <c r="AH22" s="566"/>
    </row>
    <row r="23" spans="1:34">
      <c r="A23" s="278"/>
      <c r="B23" s="1812">
        <v>2030402</v>
      </c>
      <c r="C23" s="1813">
        <v>0.1</v>
      </c>
      <c r="D23" s="1814" t="s">
        <v>601</v>
      </c>
      <c r="E23" s="925">
        <f>'11.2. Нови активи отч.год.'!E24</f>
        <v>0</v>
      </c>
      <c r="F23" s="881">
        <f>SUMIF('9.Инвестиционна програма'!$B$11:$B$34,$B23,'9.Инвестиционна програма'!F$11:F$34)*$E$5</f>
        <v>0</v>
      </c>
      <c r="G23" s="882">
        <f>SUMIF('9.Инвестиционна програма'!$B$11:$B$34,$B23,'9.Инвестиционна програма'!G$11:G$34)*$E$5</f>
        <v>0</v>
      </c>
      <c r="H23" s="882">
        <f>SUMIF('9.Инвестиционна програма'!$B$11:$B$34,$B23,'9.Инвестиционна програма'!H$11:H$34)*$E$5</f>
        <v>0</v>
      </c>
      <c r="I23" s="882">
        <f>SUMIF('9.Инвестиционна програма'!$B$11:$B$34,$B23,'9.Инвестиционна програма'!I$11:I$34)*$E$5</f>
        <v>0</v>
      </c>
      <c r="J23" s="882">
        <f>SUMIF('9.Инвестиционна програма'!$B$11:$B$34,$B23,'9.Инвестиционна програма'!J$11:J$34)*$E$5</f>
        <v>0</v>
      </c>
      <c r="K23" s="883">
        <f>SUMIF('9.Инвестиционна програма'!$B$11:$B$34,$B23,'9.Инвестиционна програма'!K$11:K$34)*$E$5</f>
        <v>0</v>
      </c>
      <c r="L23" s="1487">
        <f>'11.2. Нови активи отч.год.'!L24</f>
        <v>0</v>
      </c>
      <c r="M23" s="930">
        <f>SUMIF('9.Инвестиционна програма'!$B$36:$B$46,$B23,'9.Инвестиционна програма'!F$36:F$46)*$E$5</f>
        <v>0</v>
      </c>
      <c r="N23" s="931">
        <f>SUMIF('9.Инвестиционна програма'!$B$36:$B$46,$B23,'9.Инвестиционна програма'!G$36:G$46)*$E$5</f>
        <v>0</v>
      </c>
      <c r="O23" s="931">
        <f>SUMIF('9.Инвестиционна програма'!$B$36:$B$46,$B23,'9.Инвестиционна програма'!H$36:H$46)*$E$5</f>
        <v>0</v>
      </c>
      <c r="P23" s="931">
        <f>SUMIF('9.Инвестиционна програма'!$B$36:$B$46,$B23,'9.Инвестиционна програма'!I$36:I$46)*$E$5</f>
        <v>0</v>
      </c>
      <c r="Q23" s="931">
        <f>SUMIF('9.Инвестиционна програма'!$B$36:$B$46,$B23,'9.Инвестиционна програма'!J$36:J$46)*$E$5</f>
        <v>0</v>
      </c>
      <c r="R23" s="932">
        <f>SUMIF('9.Инвестиционна програма'!$B$36:$B$46,$B23,'9.Инвестиционна програма'!K$36:K$46)*$E$5</f>
        <v>0</v>
      </c>
      <c r="S23" s="926">
        <f>'11.2. Нови активи отч.год.'!S24</f>
        <v>0</v>
      </c>
      <c r="T23" s="927">
        <f>SUMIF('9.Инвестиционна програма'!$B$48:$B$55,$B23,'9.Инвестиционна програма'!F$48:F$55)*$E$5</f>
        <v>0</v>
      </c>
      <c r="U23" s="927">
        <f>SUMIF('9.Инвестиционна програма'!$B$48:$B$55,$B23,'9.Инвестиционна програма'!G$48:G$55)*$E$5</f>
        <v>0</v>
      </c>
      <c r="V23" s="927">
        <f>SUMIF('9.Инвестиционна програма'!$B$48:$B$55,$B23,'9.Инвестиционна програма'!H$48:H$55)*$E$5</f>
        <v>0</v>
      </c>
      <c r="W23" s="927">
        <f>SUMIF('9.Инвестиционна програма'!$B$48:$B$55,$B23,'9.Инвестиционна програма'!I$48:I$55)*$E$5</f>
        <v>0</v>
      </c>
      <c r="X23" s="927">
        <f>SUMIF('9.Инвестиционна програма'!$B$48:$B$55,$B23,'9.Инвестиционна програма'!J$48:J$55)*$E$5</f>
        <v>0</v>
      </c>
      <c r="Y23" s="927">
        <f>SUMIF('9.Инвестиционна програма'!$B$48:$B$55,$B23,'9.Инвестиционна програма'!K$48:K$55)*$E$5</f>
        <v>0</v>
      </c>
      <c r="Z23" s="926">
        <f>'11.2. Нови активи отч.год.'!Z24</f>
        <v>0</v>
      </c>
      <c r="AA23" s="930">
        <f>(SUMIF('9.Инвестиционна програма'!$B$57:$B$58,$B23,'9.Инвестиционна програма'!F$57:F$58)+SUMIF('9.Инвестиционна програма'!$B$60:$B$67,$B23,'9.Инвестиционна програма'!F$60:F$67))*$E$5</f>
        <v>0</v>
      </c>
      <c r="AB23" s="927">
        <f>(SUMIF('9.Инвестиционна програма'!$B$57:$B$58,$B23,'9.Инвестиционна програма'!G$57:G$58)+SUMIF('9.Инвестиционна програма'!$B$60:$B$67,$B23,'9.Инвестиционна програма'!G$60:G$67))*$E$5</f>
        <v>0</v>
      </c>
      <c r="AC23" s="927">
        <f>(SUMIF('9.Инвестиционна програма'!$B$57:$B$58,$B23,'9.Инвестиционна програма'!H$57:H$58)+SUMIF('9.Инвестиционна програма'!$B$60:$B$67,$B23,'9.Инвестиционна програма'!H$60:H$67))*$E$5</f>
        <v>0</v>
      </c>
      <c r="AD23" s="927">
        <f>(SUMIF('9.Инвестиционна програма'!$B$57:$B$58,$B23,'9.Инвестиционна програма'!I$57:I$58)+SUMIF('9.Инвестиционна програма'!$B$60:$B$67,$B23,'9.Инвестиционна програма'!I$60:I$67))*$E$5</f>
        <v>0</v>
      </c>
      <c r="AE23" s="927">
        <f>(SUMIF('9.Инвестиционна програма'!$B$57:$B$58,$B23,'9.Инвестиционна програма'!J$57:J$58)+SUMIF('9.Инвестиционна програма'!$B$60:$B$67,$B23,'9.Инвестиционна програма'!J$60:J$67))*$E$5</f>
        <v>0</v>
      </c>
      <c r="AF23" s="933">
        <f>(SUMIF('9.Инвестиционна програма'!$B$57:$B$58,$B23,'9.Инвестиционна програма'!K$57:K$58)+SUMIF('9.Инвестиционна програма'!$B$60:$B$67,$B23,'9.Инвестиционна програма'!K$60:K$67))*$E$5</f>
        <v>0</v>
      </c>
      <c r="AG23" s="307"/>
      <c r="AH23" s="566"/>
    </row>
    <row r="24" spans="1:34">
      <c r="A24" s="278"/>
      <c r="B24" s="1632">
        <v>20305</v>
      </c>
      <c r="C24" s="1637"/>
      <c r="D24" s="1626" t="s">
        <v>602</v>
      </c>
      <c r="E24" s="941">
        <f>SUM(E25:E27)</f>
        <v>114</v>
      </c>
      <c r="F24" s="942">
        <f t="shared" ref="F24:AF24" si="9">SUM(F25:F27)</f>
        <v>702</v>
      </c>
      <c r="G24" s="943">
        <f t="shared" si="9"/>
        <v>150</v>
      </c>
      <c r="H24" s="943">
        <f t="shared" si="9"/>
        <v>150</v>
      </c>
      <c r="I24" s="943">
        <f t="shared" si="9"/>
        <v>150</v>
      </c>
      <c r="J24" s="943">
        <f t="shared" si="9"/>
        <v>110</v>
      </c>
      <c r="K24" s="944">
        <f t="shared" si="9"/>
        <v>110</v>
      </c>
      <c r="L24" s="2063">
        <f t="shared" si="9"/>
        <v>0</v>
      </c>
      <c r="M24" s="942">
        <f t="shared" si="9"/>
        <v>0</v>
      </c>
      <c r="N24" s="943">
        <f t="shared" si="9"/>
        <v>0</v>
      </c>
      <c r="O24" s="943">
        <f t="shared" si="9"/>
        <v>0</v>
      </c>
      <c r="P24" s="943">
        <f t="shared" si="9"/>
        <v>0</v>
      </c>
      <c r="Q24" s="943">
        <f t="shared" si="9"/>
        <v>0</v>
      </c>
      <c r="R24" s="944">
        <f t="shared" si="9"/>
        <v>0</v>
      </c>
      <c r="S24" s="945">
        <f t="shared" si="9"/>
        <v>0</v>
      </c>
      <c r="T24" s="946">
        <f t="shared" si="9"/>
        <v>0</v>
      </c>
      <c r="U24" s="943">
        <f t="shared" si="9"/>
        <v>0</v>
      </c>
      <c r="V24" s="943">
        <f t="shared" si="9"/>
        <v>0</v>
      </c>
      <c r="W24" s="943">
        <f t="shared" si="9"/>
        <v>0</v>
      </c>
      <c r="X24" s="943">
        <f t="shared" si="9"/>
        <v>0</v>
      </c>
      <c r="Y24" s="944">
        <f t="shared" si="9"/>
        <v>0</v>
      </c>
      <c r="Z24" s="945">
        <f t="shared" si="9"/>
        <v>114</v>
      </c>
      <c r="AA24" s="946">
        <f t="shared" si="9"/>
        <v>0</v>
      </c>
      <c r="AB24" s="943">
        <f t="shared" si="9"/>
        <v>0</v>
      </c>
      <c r="AC24" s="943">
        <f t="shared" si="9"/>
        <v>0</v>
      </c>
      <c r="AD24" s="943">
        <f t="shared" si="9"/>
        <v>0</v>
      </c>
      <c r="AE24" s="943">
        <f t="shared" si="9"/>
        <v>0</v>
      </c>
      <c r="AF24" s="944">
        <f t="shared" si="9"/>
        <v>0</v>
      </c>
      <c r="AH24" s="566"/>
    </row>
    <row r="25" spans="1:34">
      <c r="A25" s="278"/>
      <c r="B25" s="1632">
        <v>2030501</v>
      </c>
      <c r="C25" s="1815">
        <v>0.1</v>
      </c>
      <c r="D25" s="1814" t="s">
        <v>1391</v>
      </c>
      <c r="E25" s="925">
        <f>'11.2. Нови активи отч.год.'!E26</f>
        <v>63</v>
      </c>
      <c r="F25" s="881">
        <f>SUMIF('9.Инвестиционна програма'!$B$11:$B$34,$B25,'9.Инвестиционна програма'!F$11:F$34)*$E$5</f>
        <v>240</v>
      </c>
      <c r="G25" s="882">
        <f>SUMIF('9.Инвестиционна програма'!$B$11:$B$34,$B25,'9.Инвестиционна програма'!G$11:G$34)*$E$5</f>
        <v>40</v>
      </c>
      <c r="H25" s="882">
        <f>SUMIF('9.Инвестиционна програма'!$B$11:$B$34,$B25,'9.Инвестиционна програма'!H$11:H$34)*$E$5</f>
        <v>60</v>
      </c>
      <c r="I25" s="882">
        <f>SUMIF('9.Инвестиционна програма'!$B$11:$B$34,$B25,'9.Инвестиционна програма'!I$11:I$34)*$E$5</f>
        <v>40</v>
      </c>
      <c r="J25" s="882">
        <f>SUMIF('9.Инвестиционна програма'!$B$11:$B$34,$B25,'9.Инвестиционна програма'!J$11:J$34)*$E$5</f>
        <v>40</v>
      </c>
      <c r="K25" s="883">
        <f>SUMIF('9.Инвестиционна програма'!$B$11:$B$34,$B25,'9.Инвестиционна програма'!K$11:K$34)*$E$5</f>
        <v>20</v>
      </c>
      <c r="L25" s="1487">
        <f>'11.2. Нови активи отч.год.'!L26</f>
        <v>0</v>
      </c>
      <c r="M25" s="930">
        <f>SUMIF('9.Инвестиционна програма'!$B$36:$B$46,$B25,'9.Инвестиционна програма'!F$36:F$46)*$E$5</f>
        <v>0</v>
      </c>
      <c r="N25" s="931">
        <f>SUMIF('9.Инвестиционна програма'!$B$36:$B$46,$B25,'9.Инвестиционна програма'!G$36:G$46)*$E$5</f>
        <v>0</v>
      </c>
      <c r="O25" s="931">
        <f>SUMIF('9.Инвестиционна програма'!$B$36:$B$46,$B25,'9.Инвестиционна програма'!H$36:H$46)*$E$5</f>
        <v>0</v>
      </c>
      <c r="P25" s="931">
        <f>SUMIF('9.Инвестиционна програма'!$B$36:$B$46,$B25,'9.Инвестиционна програма'!I$36:I$46)*$E$5</f>
        <v>0</v>
      </c>
      <c r="Q25" s="931">
        <f>SUMIF('9.Инвестиционна програма'!$B$36:$B$46,$B25,'9.Инвестиционна програма'!J$36:J$46)*$E$5</f>
        <v>0</v>
      </c>
      <c r="R25" s="932">
        <f>SUMIF('9.Инвестиционна програма'!$B$36:$B$46,$B25,'9.Инвестиционна програма'!K$36:K$46)*$E$5</f>
        <v>0</v>
      </c>
      <c r="S25" s="926">
        <f>'11.2. Нови активи отч.год.'!S26</f>
        <v>0</v>
      </c>
      <c r="T25" s="927">
        <f>SUMIF('9.Инвестиционна програма'!$B$48:$B$55,$B25,'9.Инвестиционна програма'!F$48:F$55)*$E$5</f>
        <v>0</v>
      </c>
      <c r="U25" s="927">
        <f>SUMIF('9.Инвестиционна програма'!$B$48:$B$55,$B25,'9.Инвестиционна програма'!G$48:G$55)*$E$5</f>
        <v>0</v>
      </c>
      <c r="V25" s="927">
        <f>SUMIF('9.Инвестиционна програма'!$B$48:$B$55,$B25,'9.Инвестиционна програма'!H$48:H$55)*$E$5</f>
        <v>0</v>
      </c>
      <c r="W25" s="927">
        <f>SUMIF('9.Инвестиционна програма'!$B$48:$B$55,$B25,'9.Инвестиционна програма'!I$48:I$55)*$E$5</f>
        <v>0</v>
      </c>
      <c r="X25" s="927">
        <f>SUMIF('9.Инвестиционна програма'!$B$48:$B$55,$B25,'9.Инвестиционна програма'!J$48:J$55)*$E$5</f>
        <v>0</v>
      </c>
      <c r="Y25" s="927">
        <f>SUMIF('9.Инвестиционна програма'!$B$48:$B$55,$B25,'9.Инвестиционна програма'!K$48:K$55)*$E$5</f>
        <v>0</v>
      </c>
      <c r="Z25" s="926">
        <f>'11.2. Нови активи отч.год.'!Z26</f>
        <v>63</v>
      </c>
      <c r="AA25" s="930">
        <f>(SUMIF('9.Инвестиционна програма'!$B$57:$B$58,$B25,'9.Инвестиционна програма'!F$57:F$58)+SUMIF('9.Инвестиционна програма'!$B$60:$B$67,$B25,'9.Инвестиционна програма'!F$60:F$67))*$E$5</f>
        <v>0</v>
      </c>
      <c r="AB25" s="927">
        <f>(SUMIF('9.Инвестиционна програма'!$B$57:$B$58,$B25,'9.Инвестиционна програма'!G$57:G$58)+SUMIF('9.Инвестиционна програма'!$B$60:$B$67,$B25,'9.Инвестиционна програма'!G$60:G$67))*$E$5</f>
        <v>0</v>
      </c>
      <c r="AC25" s="927">
        <f>(SUMIF('9.Инвестиционна програма'!$B$57:$B$58,$B25,'9.Инвестиционна програма'!H$57:H$58)+SUMIF('9.Инвестиционна програма'!$B$60:$B$67,$B25,'9.Инвестиционна програма'!H$60:H$67))*$E$5</f>
        <v>0</v>
      </c>
      <c r="AD25" s="927">
        <f>(SUMIF('9.Инвестиционна програма'!$B$57:$B$58,$B25,'9.Инвестиционна програма'!I$57:I$58)+SUMIF('9.Инвестиционна програма'!$B$60:$B$67,$B25,'9.Инвестиционна програма'!I$60:I$67))*$E$5</f>
        <v>0</v>
      </c>
      <c r="AE25" s="927">
        <f>(SUMIF('9.Инвестиционна програма'!$B$57:$B$58,$B25,'9.Инвестиционна програма'!J$57:J$58)+SUMIF('9.Инвестиционна програма'!$B$60:$B$67,$B25,'9.Инвестиционна програма'!J$60:J$67))*$E$5</f>
        <v>0</v>
      </c>
      <c r="AF25" s="933">
        <f>(SUMIF('9.Инвестиционна програма'!$B$57:$B$58,$B25,'9.Инвестиционна програма'!K$57:K$58)+SUMIF('9.Инвестиционна програма'!$B$60:$B$67,$B25,'9.Инвестиционна програма'!K$60:K$67))*$E$5</f>
        <v>0</v>
      </c>
      <c r="AG25" s="307"/>
      <c r="AH25" s="566"/>
    </row>
    <row r="26" spans="1:34" ht="24">
      <c r="A26" s="278"/>
      <c r="B26" s="1632">
        <v>2030502</v>
      </c>
      <c r="C26" s="1815">
        <v>0.1</v>
      </c>
      <c r="D26" s="1814" t="s">
        <v>948</v>
      </c>
      <c r="E26" s="925">
        <f>'11.2. Нови активи отч.год.'!E27</f>
        <v>34</v>
      </c>
      <c r="F26" s="881">
        <f>SUMIF('9.Инвестиционна програма'!$B$11:$B$34,$B26,'9.Инвестиционна програма'!F$11:F$34)*$E$5</f>
        <v>280</v>
      </c>
      <c r="G26" s="882">
        <f>SUMIF('9.Инвестиционна програма'!$B$11:$B$34,$B26,'9.Инвестиционна програма'!G$11:G$34)*$E$5</f>
        <v>60</v>
      </c>
      <c r="H26" s="882">
        <f>SUMIF('9.Инвестиционна програма'!$B$11:$B$34,$B26,'9.Инвестиционна програма'!H$11:H$34)*$E$5</f>
        <v>40</v>
      </c>
      <c r="I26" s="882">
        <f>SUMIF('9.Инвестиционна програма'!$B$11:$B$34,$B26,'9.Инвестиционна програма'!I$11:I$34)*$E$5</f>
        <v>60</v>
      </c>
      <c r="J26" s="882">
        <f>SUMIF('9.Инвестиционна програма'!$B$11:$B$34,$B26,'9.Инвестиционна програма'!J$11:J$34)*$E$5</f>
        <v>20</v>
      </c>
      <c r="K26" s="883">
        <f>SUMIF('9.Инвестиционна програма'!$B$11:$B$34,$B26,'9.Инвестиционна програма'!K$11:K$34)*$E$5</f>
        <v>40</v>
      </c>
      <c r="L26" s="1487">
        <f>'11.2. Нови активи отч.год.'!L27</f>
        <v>0</v>
      </c>
      <c r="M26" s="930">
        <f>SUMIF('9.Инвестиционна програма'!$B$36:$B$46,$B26,'9.Инвестиционна програма'!F$36:F$46)*$E$5</f>
        <v>0</v>
      </c>
      <c r="N26" s="931">
        <f>SUMIF('9.Инвестиционна програма'!$B$36:$B$46,$B26,'9.Инвестиционна програма'!G$36:G$46)*$E$5</f>
        <v>0</v>
      </c>
      <c r="O26" s="931">
        <f>SUMIF('9.Инвестиционна програма'!$B$36:$B$46,$B26,'9.Инвестиционна програма'!H$36:H$46)*$E$5</f>
        <v>0</v>
      </c>
      <c r="P26" s="931">
        <f>SUMIF('9.Инвестиционна програма'!$B$36:$B$46,$B26,'9.Инвестиционна програма'!I$36:I$46)*$E$5</f>
        <v>0</v>
      </c>
      <c r="Q26" s="931">
        <f>SUMIF('9.Инвестиционна програма'!$B$36:$B$46,$B26,'9.Инвестиционна програма'!J$36:J$46)*$E$5</f>
        <v>0</v>
      </c>
      <c r="R26" s="932">
        <f>SUMIF('9.Инвестиционна програма'!$B$36:$B$46,$B26,'9.Инвестиционна програма'!K$36:K$46)*$E$5</f>
        <v>0</v>
      </c>
      <c r="S26" s="926">
        <f>'11.2. Нови активи отч.год.'!S27</f>
        <v>0</v>
      </c>
      <c r="T26" s="927">
        <f>SUMIF('9.Инвестиционна програма'!$B$48:$B$55,$B26,'9.Инвестиционна програма'!F$48:F$55)*$E$5</f>
        <v>0</v>
      </c>
      <c r="U26" s="927">
        <f>SUMIF('9.Инвестиционна програма'!$B$48:$B$55,$B26,'9.Инвестиционна програма'!G$48:G$55)*$E$5</f>
        <v>0</v>
      </c>
      <c r="V26" s="927">
        <f>SUMIF('9.Инвестиционна програма'!$B$48:$B$55,$B26,'9.Инвестиционна програма'!H$48:H$55)*$E$5</f>
        <v>0</v>
      </c>
      <c r="W26" s="927">
        <f>SUMIF('9.Инвестиционна програма'!$B$48:$B$55,$B26,'9.Инвестиционна програма'!I$48:I$55)*$E$5</f>
        <v>0</v>
      </c>
      <c r="X26" s="927">
        <f>SUMIF('9.Инвестиционна програма'!$B$48:$B$55,$B26,'9.Инвестиционна програма'!J$48:J$55)*$E$5</f>
        <v>0</v>
      </c>
      <c r="Y26" s="927">
        <f>SUMIF('9.Инвестиционна програма'!$B$48:$B$55,$B26,'9.Инвестиционна програма'!K$48:K$55)*$E$5</f>
        <v>0</v>
      </c>
      <c r="Z26" s="926">
        <f>'11.2. Нови активи отч.год.'!Z27</f>
        <v>34</v>
      </c>
      <c r="AA26" s="930">
        <f>(SUMIF('9.Инвестиционна програма'!$B$57:$B$58,$B26,'9.Инвестиционна програма'!F$57:F$58)+SUMIF('9.Инвестиционна програма'!$B$60:$B$67,$B26,'9.Инвестиционна програма'!F$60:F$67))*$E$5</f>
        <v>0</v>
      </c>
      <c r="AB26" s="927">
        <f>(SUMIF('9.Инвестиционна програма'!$B$57:$B$58,$B26,'9.Инвестиционна програма'!G$57:G$58)+SUMIF('9.Инвестиционна програма'!$B$60:$B$67,$B26,'9.Инвестиционна програма'!G$60:G$67))*$E$5</f>
        <v>0</v>
      </c>
      <c r="AC26" s="927">
        <f>(SUMIF('9.Инвестиционна програма'!$B$57:$B$58,$B26,'9.Инвестиционна програма'!H$57:H$58)+SUMIF('9.Инвестиционна програма'!$B$60:$B$67,$B26,'9.Инвестиционна програма'!H$60:H$67))*$E$5</f>
        <v>0</v>
      </c>
      <c r="AD26" s="927">
        <f>(SUMIF('9.Инвестиционна програма'!$B$57:$B$58,$B26,'9.Инвестиционна програма'!I$57:I$58)+SUMIF('9.Инвестиционна програма'!$B$60:$B$67,$B26,'9.Инвестиционна програма'!I$60:I$67))*$E$5</f>
        <v>0</v>
      </c>
      <c r="AE26" s="927">
        <f>(SUMIF('9.Инвестиционна програма'!$B$57:$B$58,$B26,'9.Инвестиционна програма'!J$57:J$58)+SUMIF('9.Инвестиционна програма'!$B$60:$B$67,$B26,'9.Инвестиционна програма'!J$60:J$67))*$E$5</f>
        <v>0</v>
      </c>
      <c r="AF26" s="933">
        <f>(SUMIF('9.Инвестиционна програма'!$B$57:$B$58,$B26,'9.Инвестиционна програма'!K$57:K$58)+SUMIF('9.Инвестиционна програма'!$B$60:$B$67,$B26,'9.Инвестиционна програма'!K$60:K$67))*$E$5</f>
        <v>0</v>
      </c>
      <c r="AG26" s="307"/>
      <c r="AH26" s="566"/>
    </row>
    <row r="27" spans="1:34">
      <c r="A27" s="278"/>
      <c r="B27" s="1632">
        <v>2030503</v>
      </c>
      <c r="C27" s="1815">
        <v>0.1</v>
      </c>
      <c r="D27" s="1814" t="s">
        <v>966</v>
      </c>
      <c r="E27" s="925">
        <f>'11.2. Нови активи отч.год.'!E28</f>
        <v>17</v>
      </c>
      <c r="F27" s="881">
        <f>SUMIF('9.Инвестиционна програма'!$B$11:$B$34,$B27,'9.Инвестиционна програма'!F$11:F$34)*$E$5</f>
        <v>182</v>
      </c>
      <c r="G27" s="882">
        <f>SUMIF('9.Инвестиционна програма'!$B$11:$B$34,$B27,'9.Инвестиционна програма'!G$11:G$34)*$E$5</f>
        <v>50</v>
      </c>
      <c r="H27" s="882">
        <f>SUMIF('9.Инвестиционна програма'!$B$11:$B$34,$B27,'9.Инвестиционна програма'!H$11:H$34)*$E$5</f>
        <v>50</v>
      </c>
      <c r="I27" s="882">
        <f>SUMIF('9.Инвестиционна програма'!$B$11:$B$34,$B27,'9.Инвестиционна програма'!I$11:I$34)*$E$5</f>
        <v>50</v>
      </c>
      <c r="J27" s="882">
        <f>SUMIF('9.Инвестиционна програма'!$B$11:$B$34,$B27,'9.Инвестиционна програма'!J$11:J$34)*$E$5</f>
        <v>50</v>
      </c>
      <c r="K27" s="883">
        <f>SUMIF('9.Инвестиционна програма'!$B$11:$B$34,$B27,'9.Инвестиционна програма'!K$11:K$34)*$E$5</f>
        <v>50</v>
      </c>
      <c r="L27" s="1487">
        <f>'11.2. Нови активи отч.год.'!L28</f>
        <v>0</v>
      </c>
      <c r="M27" s="930">
        <f>SUMIF('9.Инвестиционна програма'!$B$36:$B$46,$B27,'9.Инвестиционна програма'!F$36:F$46)*$E$5</f>
        <v>0</v>
      </c>
      <c r="N27" s="931">
        <f>SUMIF('9.Инвестиционна програма'!$B$36:$B$46,$B27,'9.Инвестиционна програма'!G$36:G$46)*$E$5</f>
        <v>0</v>
      </c>
      <c r="O27" s="931">
        <f>SUMIF('9.Инвестиционна програма'!$B$36:$B$46,$B27,'9.Инвестиционна програма'!H$36:H$46)*$E$5</f>
        <v>0</v>
      </c>
      <c r="P27" s="931">
        <f>SUMIF('9.Инвестиционна програма'!$B$36:$B$46,$B27,'9.Инвестиционна програма'!I$36:I$46)*$E$5</f>
        <v>0</v>
      </c>
      <c r="Q27" s="931">
        <f>SUMIF('9.Инвестиционна програма'!$B$36:$B$46,$B27,'9.Инвестиционна програма'!J$36:J$46)*$E$5</f>
        <v>0</v>
      </c>
      <c r="R27" s="932">
        <f>SUMIF('9.Инвестиционна програма'!$B$36:$B$46,$B27,'9.Инвестиционна програма'!K$36:K$46)*$E$5</f>
        <v>0</v>
      </c>
      <c r="S27" s="926">
        <f>'11.2. Нови активи отч.год.'!S28</f>
        <v>0</v>
      </c>
      <c r="T27" s="927">
        <f>SUMIF('9.Инвестиционна програма'!$B$48:$B$55,$B27,'9.Инвестиционна програма'!F$48:F$55)*$E$5</f>
        <v>0</v>
      </c>
      <c r="U27" s="927">
        <f>SUMIF('9.Инвестиционна програма'!$B$48:$B$55,$B27,'9.Инвестиционна програма'!G$48:G$55)*$E$5</f>
        <v>0</v>
      </c>
      <c r="V27" s="927">
        <f>SUMIF('9.Инвестиционна програма'!$B$48:$B$55,$B27,'9.Инвестиционна програма'!H$48:H$55)*$E$5</f>
        <v>0</v>
      </c>
      <c r="W27" s="927">
        <f>SUMIF('9.Инвестиционна програма'!$B$48:$B$55,$B27,'9.Инвестиционна програма'!I$48:I$55)*$E$5</f>
        <v>0</v>
      </c>
      <c r="X27" s="927">
        <f>SUMIF('9.Инвестиционна програма'!$B$48:$B$55,$B27,'9.Инвестиционна програма'!J$48:J$55)*$E$5</f>
        <v>0</v>
      </c>
      <c r="Y27" s="927">
        <f>SUMIF('9.Инвестиционна програма'!$B$48:$B$55,$B27,'9.Инвестиционна програма'!K$48:K$55)*$E$5</f>
        <v>0</v>
      </c>
      <c r="Z27" s="926">
        <f>'11.2. Нови активи отч.год.'!Z28</f>
        <v>17</v>
      </c>
      <c r="AA27" s="930">
        <f>(SUMIF('9.Инвестиционна програма'!$B$57:$B$58,$B27,'9.Инвестиционна програма'!F$57:F$58)+SUMIF('9.Инвестиционна програма'!$B$60:$B$67,$B27,'9.Инвестиционна програма'!F$60:F$67))*$E$5</f>
        <v>0</v>
      </c>
      <c r="AB27" s="927">
        <f>(SUMIF('9.Инвестиционна програма'!$B$57:$B$58,$B27,'9.Инвестиционна програма'!G$57:G$58)+SUMIF('9.Инвестиционна програма'!$B$60:$B$67,$B27,'9.Инвестиционна програма'!G$60:G$67))*$E$5</f>
        <v>0</v>
      </c>
      <c r="AC27" s="927">
        <f>(SUMIF('9.Инвестиционна програма'!$B$57:$B$58,$B27,'9.Инвестиционна програма'!H$57:H$58)+SUMIF('9.Инвестиционна програма'!$B$60:$B$67,$B27,'9.Инвестиционна програма'!H$60:H$67))*$E$5</f>
        <v>0</v>
      </c>
      <c r="AD27" s="927">
        <f>(SUMIF('9.Инвестиционна програма'!$B$57:$B$58,$B27,'9.Инвестиционна програма'!I$57:I$58)+SUMIF('9.Инвестиционна програма'!$B$60:$B$67,$B27,'9.Инвестиционна програма'!I$60:I$67))*$E$5</f>
        <v>0</v>
      </c>
      <c r="AE27" s="927">
        <f>(SUMIF('9.Инвестиционна програма'!$B$57:$B$58,$B27,'9.Инвестиционна програма'!J$57:J$58)+SUMIF('9.Инвестиционна програма'!$B$60:$B$67,$B27,'9.Инвестиционна програма'!J$60:J$67))*$E$5</f>
        <v>0</v>
      </c>
      <c r="AF27" s="933">
        <f>(SUMIF('9.Инвестиционна програма'!$B$57:$B$58,$B27,'9.Инвестиционна програма'!K$57:K$58)+SUMIF('9.Инвестиционна програма'!$B$60:$B$67,$B27,'9.Инвестиционна програма'!K$60:K$67))*$E$5</f>
        <v>0</v>
      </c>
      <c r="AG27" s="307"/>
      <c r="AH27" s="566"/>
    </row>
    <row r="28" spans="1:34">
      <c r="A28" s="278"/>
      <c r="B28" s="1632">
        <v>20306</v>
      </c>
      <c r="C28" s="1633">
        <v>0.1</v>
      </c>
      <c r="D28" s="1626" t="s">
        <v>581</v>
      </c>
      <c r="E28" s="925">
        <f>'11.2. Нови активи отч.год.'!E29</f>
        <v>17</v>
      </c>
      <c r="F28" s="881">
        <f>SUMIF('9.Инвестиционна програма'!$B$11:$B$34,$B28,'9.Инвестиционна програма'!F$11:F$34)*$E$5</f>
        <v>518</v>
      </c>
      <c r="G28" s="882">
        <f>SUMIF('9.Инвестиционна програма'!$B$11:$B$34,$B28,'9.Инвестиционна програма'!G$11:G$34)*$E$5</f>
        <v>19</v>
      </c>
      <c r="H28" s="882">
        <f>SUMIF('9.Инвестиционна програма'!$B$11:$B$34,$B28,'9.Инвестиционна програма'!H$11:H$34)*$E$5</f>
        <v>19</v>
      </c>
      <c r="I28" s="882">
        <f>SUMIF('9.Инвестиционна програма'!$B$11:$B$34,$B28,'9.Инвестиционна програма'!I$11:I$34)*$E$5</f>
        <v>19</v>
      </c>
      <c r="J28" s="882">
        <f>SUMIF('9.Инвестиционна програма'!$B$11:$B$34,$B28,'9.Инвестиционна програма'!J$11:J$34)*$E$5</f>
        <v>19</v>
      </c>
      <c r="K28" s="883">
        <f>SUMIF('9.Инвестиционна програма'!$B$11:$B$34,$B28,'9.Инвестиционна програма'!K$11:K$34)*$E$5</f>
        <v>19</v>
      </c>
      <c r="L28" s="1487">
        <f>'11.2. Нови активи отч.год.'!L29</f>
        <v>0</v>
      </c>
      <c r="M28" s="930">
        <f>SUMIF('9.Инвестиционна програма'!$B$36:$B$46,$B28,'9.Инвестиционна програма'!F$36:F$46)*$E$5</f>
        <v>0</v>
      </c>
      <c r="N28" s="931">
        <f>SUMIF('9.Инвестиционна програма'!$B$36:$B$46,$B28,'9.Инвестиционна програма'!G$36:G$46)*$E$5</f>
        <v>0</v>
      </c>
      <c r="O28" s="931">
        <f>SUMIF('9.Инвестиционна програма'!$B$36:$B$46,$B28,'9.Инвестиционна програма'!H$36:H$46)*$E$5</f>
        <v>0</v>
      </c>
      <c r="P28" s="931">
        <f>SUMIF('9.Инвестиционна програма'!$B$36:$B$46,$B28,'9.Инвестиционна програма'!I$36:I$46)*$E$5</f>
        <v>0</v>
      </c>
      <c r="Q28" s="931">
        <f>SUMIF('9.Инвестиционна програма'!$B$36:$B$46,$B28,'9.Инвестиционна програма'!J$36:J$46)*$E$5</f>
        <v>0</v>
      </c>
      <c r="R28" s="932">
        <f>SUMIF('9.Инвестиционна програма'!$B$36:$B$46,$B28,'9.Инвестиционна програма'!K$36:K$46)*$E$5</f>
        <v>0</v>
      </c>
      <c r="S28" s="926">
        <f>'11.2. Нови активи отч.год.'!S29</f>
        <v>46</v>
      </c>
      <c r="T28" s="927">
        <f>SUMIF('9.Инвестиционна програма'!$B$48:$B$55,$B28,'9.Инвестиционна програма'!F$48:F$55)*$E$5</f>
        <v>10</v>
      </c>
      <c r="U28" s="927">
        <f>SUMIF('9.Инвестиционна програма'!$B$48:$B$55,$B28,'9.Инвестиционна програма'!G$48:G$55)*$E$5</f>
        <v>10</v>
      </c>
      <c r="V28" s="927">
        <f>SUMIF('9.Инвестиционна програма'!$B$48:$B$55,$B28,'9.Инвестиционна програма'!H$48:H$55)*$E$5</f>
        <v>10</v>
      </c>
      <c r="W28" s="927">
        <f>SUMIF('9.Инвестиционна програма'!$B$48:$B$55,$B28,'9.Инвестиционна програма'!I$48:I$55)*$E$5</f>
        <v>10</v>
      </c>
      <c r="X28" s="927">
        <f>SUMIF('9.Инвестиционна програма'!$B$48:$B$55,$B28,'9.Инвестиционна програма'!J$48:J$55)*$E$5</f>
        <v>10</v>
      </c>
      <c r="Y28" s="927">
        <f>SUMIF('9.Инвестиционна програма'!$B$48:$B$55,$B28,'9.Инвестиционна програма'!K$48:K$55)*$E$5</f>
        <v>10</v>
      </c>
      <c r="Z28" s="926">
        <f>'11.2. Нови активи отч.год.'!Z29</f>
        <v>63</v>
      </c>
      <c r="AA28" s="930">
        <f>(SUMIF('9.Инвестиционна програма'!$B$57:$B$58,$B28,'9.Инвестиционна програма'!F$57:F$58)+SUMIF('9.Инвестиционна програма'!$B$60:$B$67,$B28,'9.Инвестиционна програма'!F$60:F$67))*$E$5</f>
        <v>0</v>
      </c>
      <c r="AB28" s="927">
        <f>(SUMIF('9.Инвестиционна програма'!$B$57:$B$58,$B28,'9.Инвестиционна програма'!G$57:G$58)+SUMIF('9.Инвестиционна програма'!$B$60:$B$67,$B28,'9.Инвестиционна програма'!G$60:G$67))*$E$5</f>
        <v>0</v>
      </c>
      <c r="AC28" s="927">
        <f>(SUMIF('9.Инвестиционна програма'!$B$57:$B$58,$B28,'9.Инвестиционна програма'!H$57:H$58)+SUMIF('9.Инвестиционна програма'!$B$60:$B$67,$B28,'9.Инвестиционна програма'!H$60:H$67))*$E$5</f>
        <v>0</v>
      </c>
      <c r="AD28" s="927">
        <f>(SUMIF('9.Инвестиционна програма'!$B$57:$B$58,$B28,'9.Инвестиционна програма'!I$57:I$58)+SUMIF('9.Инвестиционна програма'!$B$60:$B$67,$B28,'9.Инвестиционна програма'!I$60:I$67))*$E$5</f>
        <v>0</v>
      </c>
      <c r="AE28" s="927">
        <f>(SUMIF('9.Инвестиционна програма'!$B$57:$B$58,$B28,'9.Инвестиционна програма'!J$57:J$58)+SUMIF('9.Инвестиционна програма'!$B$60:$B$67,$B28,'9.Инвестиционна програма'!J$60:J$67))*$E$5</f>
        <v>0</v>
      </c>
      <c r="AF28" s="933">
        <f>(SUMIF('9.Инвестиционна програма'!$B$57:$B$58,$B28,'9.Инвестиционна програма'!K$57:K$58)+SUMIF('9.Инвестиционна програма'!$B$60:$B$67,$B28,'9.Инвестиционна програма'!K$60:K$67))*$E$5</f>
        <v>0</v>
      </c>
      <c r="AG28" s="307"/>
      <c r="AH28" s="566"/>
    </row>
    <row r="29" spans="1:34" ht="14.25" customHeight="1">
      <c r="A29" s="934">
        <v>4</v>
      </c>
      <c r="B29" s="1808">
        <v>204</v>
      </c>
      <c r="C29" s="1809"/>
      <c r="D29" s="1816" t="s">
        <v>274</v>
      </c>
      <c r="E29" s="940">
        <f>E30+E33+E42+E43</f>
        <v>1259</v>
      </c>
      <c r="F29" s="885">
        <f t="shared" ref="F29:AF29" si="10">F30+F33+F42+F43</f>
        <v>1353</v>
      </c>
      <c r="G29" s="886">
        <f t="shared" si="10"/>
        <v>590</v>
      </c>
      <c r="H29" s="886">
        <f t="shared" si="10"/>
        <v>565</v>
      </c>
      <c r="I29" s="886">
        <f t="shared" si="10"/>
        <v>500</v>
      </c>
      <c r="J29" s="886">
        <f t="shared" si="10"/>
        <v>550</v>
      </c>
      <c r="K29" s="887">
        <f t="shared" si="10"/>
        <v>495</v>
      </c>
      <c r="L29" s="2062">
        <f t="shared" si="10"/>
        <v>6</v>
      </c>
      <c r="M29" s="885">
        <f t="shared" si="10"/>
        <v>55</v>
      </c>
      <c r="N29" s="886">
        <f t="shared" si="10"/>
        <v>43</v>
      </c>
      <c r="O29" s="886">
        <f t="shared" si="10"/>
        <v>38</v>
      </c>
      <c r="P29" s="886">
        <f t="shared" si="10"/>
        <v>72</v>
      </c>
      <c r="Q29" s="886">
        <f t="shared" si="10"/>
        <v>61</v>
      </c>
      <c r="R29" s="887">
        <f t="shared" si="10"/>
        <v>43</v>
      </c>
      <c r="S29" s="884">
        <f t="shared" si="10"/>
        <v>3</v>
      </c>
      <c r="T29" s="888">
        <f t="shared" si="10"/>
        <v>0</v>
      </c>
      <c r="U29" s="886">
        <f t="shared" si="10"/>
        <v>39</v>
      </c>
      <c r="V29" s="886">
        <f t="shared" si="10"/>
        <v>34</v>
      </c>
      <c r="W29" s="886">
        <f t="shared" si="10"/>
        <v>46</v>
      </c>
      <c r="X29" s="886">
        <f t="shared" si="10"/>
        <v>31</v>
      </c>
      <c r="Y29" s="887">
        <f t="shared" si="10"/>
        <v>41</v>
      </c>
      <c r="Z29" s="884">
        <f t="shared" si="10"/>
        <v>1268</v>
      </c>
      <c r="AA29" s="888">
        <f t="shared" si="10"/>
        <v>0</v>
      </c>
      <c r="AB29" s="886">
        <f t="shared" si="10"/>
        <v>0</v>
      </c>
      <c r="AC29" s="886">
        <f t="shared" si="10"/>
        <v>0</v>
      </c>
      <c r="AD29" s="886">
        <f t="shared" si="10"/>
        <v>0</v>
      </c>
      <c r="AE29" s="886">
        <f t="shared" si="10"/>
        <v>0</v>
      </c>
      <c r="AF29" s="887">
        <f t="shared" si="10"/>
        <v>0</v>
      </c>
      <c r="AG29" s="307"/>
      <c r="AH29" s="566"/>
    </row>
    <row r="30" spans="1:34">
      <c r="A30" s="278"/>
      <c r="B30" s="1632">
        <v>20401</v>
      </c>
      <c r="C30" s="1637"/>
      <c r="D30" s="1638" t="s">
        <v>589</v>
      </c>
      <c r="E30" s="941">
        <f t="shared" ref="E30:AF30" si="11">SUM(E31:E32)</f>
        <v>7</v>
      </c>
      <c r="F30" s="942">
        <f t="shared" si="11"/>
        <v>0</v>
      </c>
      <c r="G30" s="943">
        <f t="shared" si="11"/>
        <v>0</v>
      </c>
      <c r="H30" s="943">
        <f t="shared" si="11"/>
        <v>0</v>
      </c>
      <c r="I30" s="943">
        <f t="shared" si="11"/>
        <v>0</v>
      </c>
      <c r="J30" s="943">
        <f t="shared" si="11"/>
        <v>0</v>
      </c>
      <c r="K30" s="944">
        <f t="shared" si="11"/>
        <v>0</v>
      </c>
      <c r="L30" s="2063">
        <f t="shared" si="11"/>
        <v>0</v>
      </c>
      <c r="M30" s="942">
        <f t="shared" si="11"/>
        <v>0</v>
      </c>
      <c r="N30" s="943">
        <f t="shared" si="11"/>
        <v>0</v>
      </c>
      <c r="O30" s="943">
        <f t="shared" si="11"/>
        <v>0</v>
      </c>
      <c r="P30" s="943">
        <f t="shared" si="11"/>
        <v>0</v>
      </c>
      <c r="Q30" s="943">
        <f t="shared" si="11"/>
        <v>0</v>
      </c>
      <c r="R30" s="944">
        <f t="shared" si="11"/>
        <v>0</v>
      </c>
      <c r="S30" s="945">
        <f t="shared" si="11"/>
        <v>0</v>
      </c>
      <c r="T30" s="946">
        <f t="shared" si="11"/>
        <v>0</v>
      </c>
      <c r="U30" s="943">
        <f t="shared" si="11"/>
        <v>0</v>
      </c>
      <c r="V30" s="943">
        <f t="shared" si="11"/>
        <v>0</v>
      </c>
      <c r="W30" s="943">
        <f t="shared" si="11"/>
        <v>0</v>
      </c>
      <c r="X30" s="943">
        <f t="shared" si="11"/>
        <v>0</v>
      </c>
      <c r="Y30" s="944">
        <f t="shared" si="11"/>
        <v>0</v>
      </c>
      <c r="Z30" s="945">
        <f t="shared" si="11"/>
        <v>7</v>
      </c>
      <c r="AA30" s="946">
        <f t="shared" si="11"/>
        <v>0</v>
      </c>
      <c r="AB30" s="943">
        <f t="shared" si="11"/>
        <v>0</v>
      </c>
      <c r="AC30" s="943">
        <f t="shared" si="11"/>
        <v>0</v>
      </c>
      <c r="AD30" s="943">
        <f t="shared" si="11"/>
        <v>0</v>
      </c>
      <c r="AE30" s="943">
        <f t="shared" si="11"/>
        <v>0</v>
      </c>
      <c r="AF30" s="944">
        <f t="shared" si="11"/>
        <v>0</v>
      </c>
      <c r="AH30" s="566"/>
    </row>
    <row r="31" spans="1:34">
      <c r="A31" s="278"/>
      <c r="B31" s="1812">
        <v>2040101</v>
      </c>
      <c r="C31" s="1813">
        <v>0.1</v>
      </c>
      <c r="D31" s="1817" t="s">
        <v>603</v>
      </c>
      <c r="E31" s="925">
        <f>'11.2. Нови активи отч.год.'!E32</f>
        <v>7</v>
      </c>
      <c r="F31" s="881">
        <f>SUMIF('9.Инвестиционна програма'!$B$11:$B$34,$B31,'9.Инвестиционна програма'!F$11:F$34)*$E$5</f>
        <v>0</v>
      </c>
      <c r="G31" s="882">
        <f>SUMIF('9.Инвестиционна програма'!$B$11:$B$34,$B31,'9.Инвестиционна програма'!G$11:G$34)*$E$5</f>
        <v>0</v>
      </c>
      <c r="H31" s="882">
        <f>SUMIF('9.Инвестиционна програма'!$B$11:$B$34,$B31,'9.Инвестиционна програма'!H$11:H$34)*$E$5</f>
        <v>0</v>
      </c>
      <c r="I31" s="882">
        <f>SUMIF('9.Инвестиционна програма'!$B$11:$B$34,$B31,'9.Инвестиционна програма'!I$11:I$34)*$E$5</f>
        <v>0</v>
      </c>
      <c r="J31" s="882">
        <f>SUMIF('9.Инвестиционна програма'!$B$11:$B$34,$B31,'9.Инвестиционна програма'!J$11:J$34)*$E$5</f>
        <v>0</v>
      </c>
      <c r="K31" s="883">
        <f>SUMIF('9.Инвестиционна програма'!$B$11:$B$34,$B31,'9.Инвестиционна програма'!K$11:K$34)*$E$5</f>
        <v>0</v>
      </c>
      <c r="L31" s="1487">
        <f>'11.2. Нови активи отч.год.'!L32</f>
        <v>0</v>
      </c>
      <c r="M31" s="930">
        <f>SUMIF('9.Инвестиционна програма'!$B$36:$B$46,$B31,'9.Инвестиционна програма'!F$36:F$46)*$E$5</f>
        <v>0</v>
      </c>
      <c r="N31" s="931">
        <f>SUMIF('9.Инвестиционна програма'!$B$36:$B$46,$B31,'9.Инвестиционна програма'!G$36:G$46)*$E$5</f>
        <v>0</v>
      </c>
      <c r="O31" s="931">
        <f>SUMIF('9.Инвестиционна програма'!$B$36:$B$46,$B31,'9.Инвестиционна програма'!H$36:H$46)*$E$5</f>
        <v>0</v>
      </c>
      <c r="P31" s="931">
        <f>SUMIF('9.Инвестиционна програма'!$B$36:$B$46,$B31,'9.Инвестиционна програма'!I$36:I$46)*$E$5</f>
        <v>0</v>
      </c>
      <c r="Q31" s="931">
        <f>SUMIF('9.Инвестиционна програма'!$B$36:$B$46,$B31,'9.Инвестиционна програма'!J$36:J$46)*$E$5</f>
        <v>0</v>
      </c>
      <c r="R31" s="932">
        <f>SUMIF('9.Инвестиционна програма'!$B$36:$B$46,$B31,'9.Инвестиционна програма'!K$36:K$46)*$E$5</f>
        <v>0</v>
      </c>
      <c r="S31" s="926">
        <f>'11.2. Нови активи отч.год.'!S32</f>
        <v>0</v>
      </c>
      <c r="T31" s="927">
        <f>SUMIF('9.Инвестиционна програма'!$B$48:$B$55,$B31,'9.Инвестиционна програма'!F$48:F$55)*$E$5</f>
        <v>0</v>
      </c>
      <c r="U31" s="927">
        <f>SUMIF('9.Инвестиционна програма'!$B$48:$B$55,$B31,'9.Инвестиционна програма'!G$48:G$55)*$E$5</f>
        <v>0</v>
      </c>
      <c r="V31" s="927">
        <f>SUMIF('9.Инвестиционна програма'!$B$48:$B$55,$B31,'9.Инвестиционна програма'!H$48:H$55)*$E$5</f>
        <v>0</v>
      </c>
      <c r="W31" s="927">
        <f>SUMIF('9.Инвестиционна програма'!$B$48:$B$55,$B31,'9.Инвестиционна програма'!I$48:I$55)*$E$5</f>
        <v>0</v>
      </c>
      <c r="X31" s="927">
        <f>SUMIF('9.Инвестиционна програма'!$B$48:$B$55,$B31,'9.Инвестиционна програма'!J$48:J$55)*$E$5</f>
        <v>0</v>
      </c>
      <c r="Y31" s="927">
        <f>SUMIF('9.Инвестиционна програма'!$B$48:$B$55,$B31,'9.Инвестиционна програма'!K$48:K$55)*$E$5</f>
        <v>0</v>
      </c>
      <c r="Z31" s="926">
        <f>'11.2. Нови активи отч.год.'!Z32</f>
        <v>7</v>
      </c>
      <c r="AA31" s="930">
        <f>(SUMIF('9.Инвестиционна програма'!$B$57:$B$58,$B31,'9.Инвестиционна програма'!F$57:F$58)+SUMIF('9.Инвестиционна програма'!$B$60:$B$67,$B31,'9.Инвестиционна програма'!F$60:F$67))*$E$5</f>
        <v>0</v>
      </c>
      <c r="AB31" s="927">
        <f>(SUMIF('9.Инвестиционна програма'!$B$57:$B$58,$B31,'9.Инвестиционна програма'!G$57:G$58)+SUMIF('9.Инвестиционна програма'!$B$60:$B$67,$B31,'9.Инвестиционна програма'!G$60:G$67))*$E$5</f>
        <v>0</v>
      </c>
      <c r="AC31" s="927">
        <f>(SUMIF('9.Инвестиционна програма'!$B$57:$B$58,$B31,'9.Инвестиционна програма'!H$57:H$58)+SUMIF('9.Инвестиционна програма'!$B$60:$B$67,$B31,'9.Инвестиционна програма'!H$60:H$67))*$E$5</f>
        <v>0</v>
      </c>
      <c r="AD31" s="927">
        <f>(SUMIF('9.Инвестиционна програма'!$B$57:$B$58,$B31,'9.Инвестиционна програма'!I$57:I$58)+SUMIF('9.Инвестиционна програма'!$B$60:$B$67,$B31,'9.Инвестиционна програма'!I$60:I$67))*$E$5</f>
        <v>0</v>
      </c>
      <c r="AE31" s="927">
        <f>(SUMIF('9.Инвестиционна програма'!$B$57:$B$58,$B31,'9.Инвестиционна програма'!J$57:J$58)+SUMIF('9.Инвестиционна програма'!$B$60:$B$67,$B31,'9.Инвестиционна програма'!J$60:J$67))*$E$5</f>
        <v>0</v>
      </c>
      <c r="AF31" s="933">
        <f>(SUMIF('9.Инвестиционна програма'!$B$57:$B$58,$B31,'9.Инвестиционна програма'!K$57:K$58)+SUMIF('9.Инвестиционна програма'!$B$60:$B$67,$B31,'9.Инвестиционна програма'!K$60:K$67))*$E$5</f>
        <v>0</v>
      </c>
      <c r="AH31" s="566"/>
    </row>
    <row r="32" spans="1:34">
      <c r="A32" s="278"/>
      <c r="B32" s="1812">
        <v>2040102</v>
      </c>
      <c r="C32" s="1813">
        <v>0.04</v>
      </c>
      <c r="D32" s="1817" t="s">
        <v>604</v>
      </c>
      <c r="E32" s="925">
        <f>'11.2. Нови активи отч.год.'!E33</f>
        <v>0</v>
      </c>
      <c r="F32" s="881">
        <f>SUMIF('9.Инвестиционна програма'!$B$11:$B$34,$B32,'9.Инвестиционна програма'!F$11:F$34)*$E$5</f>
        <v>0</v>
      </c>
      <c r="G32" s="882">
        <f>SUMIF('9.Инвестиционна програма'!$B$11:$B$34,$B32,'9.Инвестиционна програма'!G$11:G$34)*$E$5</f>
        <v>0</v>
      </c>
      <c r="H32" s="882">
        <f>SUMIF('9.Инвестиционна програма'!$B$11:$B$34,$B32,'9.Инвестиционна програма'!H$11:H$34)*$E$5</f>
        <v>0</v>
      </c>
      <c r="I32" s="882">
        <f>SUMIF('9.Инвестиционна програма'!$B$11:$B$34,$B32,'9.Инвестиционна програма'!I$11:I$34)*$E$5</f>
        <v>0</v>
      </c>
      <c r="J32" s="882">
        <f>SUMIF('9.Инвестиционна програма'!$B$11:$B$34,$B32,'9.Инвестиционна програма'!J$11:J$34)*$E$5</f>
        <v>0</v>
      </c>
      <c r="K32" s="883">
        <f>SUMIF('9.Инвестиционна програма'!$B$11:$B$34,$B32,'9.Инвестиционна програма'!K$11:K$34)*$E$5</f>
        <v>0</v>
      </c>
      <c r="L32" s="1487">
        <f>'11.2. Нови активи отч.год.'!L33</f>
        <v>0</v>
      </c>
      <c r="M32" s="930">
        <f>SUMIF('9.Инвестиционна програма'!$B$36:$B$46,$B32,'9.Инвестиционна програма'!F$36:F$46)*$E$5</f>
        <v>0</v>
      </c>
      <c r="N32" s="931">
        <f>SUMIF('9.Инвестиционна програма'!$B$36:$B$46,$B32,'9.Инвестиционна програма'!G$36:G$46)*$E$5</f>
        <v>0</v>
      </c>
      <c r="O32" s="931">
        <f>SUMIF('9.Инвестиционна програма'!$B$36:$B$46,$B32,'9.Инвестиционна програма'!H$36:H$46)*$E$5</f>
        <v>0</v>
      </c>
      <c r="P32" s="931">
        <f>SUMIF('9.Инвестиционна програма'!$B$36:$B$46,$B32,'9.Инвестиционна програма'!I$36:I$46)*$E$5</f>
        <v>0</v>
      </c>
      <c r="Q32" s="931">
        <f>SUMIF('9.Инвестиционна програма'!$B$36:$B$46,$B32,'9.Инвестиционна програма'!J$36:J$46)*$E$5</f>
        <v>0</v>
      </c>
      <c r="R32" s="932">
        <f>SUMIF('9.Инвестиционна програма'!$B$36:$B$46,$B32,'9.Инвестиционна програма'!K$36:K$46)*$E$5</f>
        <v>0</v>
      </c>
      <c r="S32" s="926">
        <f>'11.2. Нови активи отч.год.'!S33</f>
        <v>0</v>
      </c>
      <c r="T32" s="927">
        <f>SUMIF('9.Инвестиционна програма'!$B$48:$B$55,$B32,'9.Инвестиционна програма'!F$48:F$55)*$E$5</f>
        <v>0</v>
      </c>
      <c r="U32" s="927">
        <f>SUMIF('9.Инвестиционна програма'!$B$48:$B$55,$B32,'9.Инвестиционна програма'!G$48:G$55)*$E$5</f>
        <v>0</v>
      </c>
      <c r="V32" s="927">
        <f>SUMIF('9.Инвестиционна програма'!$B$48:$B$55,$B32,'9.Инвестиционна програма'!H$48:H$55)*$E$5</f>
        <v>0</v>
      </c>
      <c r="W32" s="927">
        <f>SUMIF('9.Инвестиционна програма'!$B$48:$B$55,$B32,'9.Инвестиционна програма'!I$48:I$55)*$E$5</f>
        <v>0</v>
      </c>
      <c r="X32" s="927">
        <f>SUMIF('9.Инвестиционна програма'!$B$48:$B$55,$B32,'9.Инвестиционна програма'!J$48:J$55)*$E$5</f>
        <v>0</v>
      </c>
      <c r="Y32" s="927">
        <f>SUMIF('9.Инвестиционна програма'!$B$48:$B$55,$B32,'9.Инвестиционна програма'!K$48:K$55)*$E$5</f>
        <v>0</v>
      </c>
      <c r="Z32" s="926">
        <f>'11.2. Нови активи отч.год.'!Z33</f>
        <v>0</v>
      </c>
      <c r="AA32" s="930">
        <f>(SUMIF('9.Инвестиционна програма'!$B$57:$B$58,$B32,'9.Инвестиционна програма'!F$57:F$58)+SUMIF('9.Инвестиционна програма'!$B$60:$B$67,$B32,'9.Инвестиционна програма'!F$60:F$67))*$E$5</f>
        <v>0</v>
      </c>
      <c r="AB32" s="927">
        <f>(SUMIF('9.Инвестиционна програма'!$B$57:$B$58,$B32,'9.Инвестиционна програма'!G$57:G$58)+SUMIF('9.Инвестиционна програма'!$B$60:$B$67,$B32,'9.Инвестиционна програма'!G$60:G$67))*$E$5</f>
        <v>0</v>
      </c>
      <c r="AC32" s="927">
        <f>(SUMIF('9.Инвестиционна програма'!$B$57:$B$58,$B32,'9.Инвестиционна програма'!H$57:H$58)+SUMIF('9.Инвестиционна програма'!$B$60:$B$67,$B32,'9.Инвестиционна програма'!H$60:H$67))*$E$5</f>
        <v>0</v>
      </c>
      <c r="AD32" s="927">
        <f>(SUMIF('9.Инвестиционна програма'!$B$57:$B$58,$B32,'9.Инвестиционна програма'!I$57:I$58)+SUMIF('9.Инвестиционна програма'!$B$60:$B$67,$B32,'9.Инвестиционна програма'!I$60:I$67))*$E$5</f>
        <v>0</v>
      </c>
      <c r="AE32" s="927">
        <f>(SUMIF('9.Инвестиционна програма'!$B$57:$B$58,$B32,'9.Инвестиционна програма'!J$57:J$58)+SUMIF('9.Инвестиционна програма'!$B$60:$B$67,$B32,'9.Инвестиционна програма'!J$60:J$67))*$E$5</f>
        <v>0</v>
      </c>
      <c r="AF32" s="933">
        <f>(SUMIF('9.Инвестиционна програма'!$B$57:$B$58,$B32,'9.Инвестиционна програма'!K$57:K$58)+SUMIF('9.Инвестиционна програма'!$B$60:$B$67,$B32,'9.Инвестиционна програма'!K$60:K$67))*$E$5</f>
        <v>0</v>
      </c>
      <c r="AH32" s="566"/>
    </row>
    <row r="33" spans="1:34">
      <c r="A33" s="278"/>
      <c r="B33" s="1632">
        <v>20402</v>
      </c>
      <c r="C33" s="1637"/>
      <c r="D33" s="1638" t="s">
        <v>605</v>
      </c>
      <c r="E33" s="941">
        <f>SUM(E34:E41)</f>
        <v>1180</v>
      </c>
      <c r="F33" s="942">
        <f t="shared" ref="F33:AF33" si="12">SUM(F34:F41)</f>
        <v>1353</v>
      </c>
      <c r="G33" s="943">
        <f t="shared" si="12"/>
        <v>590</v>
      </c>
      <c r="H33" s="943">
        <f t="shared" si="12"/>
        <v>565</v>
      </c>
      <c r="I33" s="943">
        <f t="shared" si="12"/>
        <v>500</v>
      </c>
      <c r="J33" s="943">
        <f t="shared" si="12"/>
        <v>550</v>
      </c>
      <c r="K33" s="944">
        <f t="shared" si="12"/>
        <v>495</v>
      </c>
      <c r="L33" s="2063">
        <f t="shared" si="12"/>
        <v>4</v>
      </c>
      <c r="M33" s="942">
        <f t="shared" si="12"/>
        <v>55</v>
      </c>
      <c r="N33" s="943">
        <f t="shared" si="12"/>
        <v>43</v>
      </c>
      <c r="O33" s="943">
        <f t="shared" si="12"/>
        <v>38</v>
      </c>
      <c r="P33" s="943">
        <f t="shared" si="12"/>
        <v>72</v>
      </c>
      <c r="Q33" s="943">
        <f t="shared" si="12"/>
        <v>61</v>
      </c>
      <c r="R33" s="944">
        <f t="shared" si="12"/>
        <v>43</v>
      </c>
      <c r="S33" s="945">
        <f t="shared" si="12"/>
        <v>0</v>
      </c>
      <c r="T33" s="946">
        <f t="shared" si="12"/>
        <v>0</v>
      </c>
      <c r="U33" s="943">
        <f t="shared" si="12"/>
        <v>39</v>
      </c>
      <c r="V33" s="943">
        <f t="shared" si="12"/>
        <v>34</v>
      </c>
      <c r="W33" s="943">
        <f t="shared" si="12"/>
        <v>46</v>
      </c>
      <c r="X33" s="943">
        <f t="shared" si="12"/>
        <v>31</v>
      </c>
      <c r="Y33" s="944">
        <f t="shared" si="12"/>
        <v>41</v>
      </c>
      <c r="Z33" s="945">
        <f t="shared" si="12"/>
        <v>1184</v>
      </c>
      <c r="AA33" s="946">
        <f t="shared" si="12"/>
        <v>0</v>
      </c>
      <c r="AB33" s="943">
        <f t="shared" si="12"/>
        <v>0</v>
      </c>
      <c r="AC33" s="943">
        <f t="shared" si="12"/>
        <v>0</v>
      </c>
      <c r="AD33" s="943">
        <f t="shared" si="12"/>
        <v>0</v>
      </c>
      <c r="AE33" s="943">
        <f t="shared" si="12"/>
        <v>0</v>
      </c>
      <c r="AF33" s="944">
        <f t="shared" si="12"/>
        <v>0</v>
      </c>
      <c r="AH33" s="566"/>
    </row>
    <row r="34" spans="1:34">
      <c r="A34" s="278"/>
      <c r="B34" s="1632">
        <v>2040201</v>
      </c>
      <c r="C34" s="1633">
        <v>0.02</v>
      </c>
      <c r="D34" s="1814" t="s">
        <v>1007</v>
      </c>
      <c r="E34" s="925">
        <f>'11.2. Нови активи отч.год.'!E35</f>
        <v>0</v>
      </c>
      <c r="F34" s="881">
        <f>SUMIF('9.Инвестиционна програма'!$B$11:$B$34,$B34,'9.Инвестиционна програма'!F$11:F$34)*$E$5</f>
        <v>0</v>
      </c>
      <c r="G34" s="882">
        <f>SUMIF('9.Инвестиционна програма'!$B$11:$B$34,$B34,'9.Инвестиционна програма'!G$11:G$34)*$E$5</f>
        <v>0</v>
      </c>
      <c r="H34" s="882">
        <f>SUMIF('9.Инвестиционна програма'!$B$11:$B$34,$B34,'9.Инвестиционна програма'!H$11:H$34)*$E$5</f>
        <v>0</v>
      </c>
      <c r="I34" s="882">
        <f>SUMIF('9.Инвестиционна програма'!$B$11:$B$34,$B34,'9.Инвестиционна програма'!I$11:I$34)*$E$5</f>
        <v>0</v>
      </c>
      <c r="J34" s="882">
        <f>SUMIF('9.Инвестиционна програма'!$B$11:$B$34,$B34,'9.Инвестиционна програма'!J$11:J$34)*$E$5</f>
        <v>0</v>
      </c>
      <c r="K34" s="883">
        <f>SUMIF('9.Инвестиционна програма'!$B$11:$B$34,$B34,'9.Инвестиционна програма'!K$11:K$34)*$E$5</f>
        <v>0</v>
      </c>
      <c r="L34" s="1487">
        <f>'11.2. Нови активи отч.год.'!L35</f>
        <v>0</v>
      </c>
      <c r="M34" s="930">
        <f>SUMIF('9.Инвестиционна програма'!$B$36:$B$46,$B34,'9.Инвестиционна програма'!F$36:F$46)*$E$5</f>
        <v>0</v>
      </c>
      <c r="N34" s="931">
        <f>SUMIF('9.Инвестиционна програма'!$B$36:$B$46,$B34,'9.Инвестиционна програма'!G$36:G$46)*$E$5</f>
        <v>0</v>
      </c>
      <c r="O34" s="931">
        <f>SUMIF('9.Инвестиционна програма'!$B$36:$B$46,$B34,'9.Инвестиционна програма'!H$36:H$46)*$E$5</f>
        <v>0</v>
      </c>
      <c r="P34" s="931">
        <f>SUMIF('9.Инвестиционна програма'!$B$36:$B$46,$B34,'9.Инвестиционна програма'!I$36:I$46)*$E$5</f>
        <v>0</v>
      </c>
      <c r="Q34" s="931">
        <f>SUMIF('9.Инвестиционна програма'!$B$36:$B$46,$B34,'9.Инвестиционна програма'!J$36:J$46)*$E$5</f>
        <v>0</v>
      </c>
      <c r="R34" s="932">
        <f>SUMIF('9.Инвестиционна програма'!$B$36:$B$46,$B34,'9.Инвестиционна програма'!K$36:K$46)*$E$5</f>
        <v>0</v>
      </c>
      <c r="S34" s="926">
        <f>'11.2. Нови активи отч.год.'!S35</f>
        <v>0</v>
      </c>
      <c r="T34" s="927">
        <f>SUMIF('9.Инвестиционна програма'!$B$48:$B$55,$B34,'9.Инвестиционна програма'!F$48:F$55)*$E$5</f>
        <v>0</v>
      </c>
      <c r="U34" s="927">
        <f>SUMIF('9.Инвестиционна програма'!$B$48:$B$55,$B34,'9.Инвестиционна програма'!G$48:G$55)*$E$5</f>
        <v>0</v>
      </c>
      <c r="V34" s="927">
        <f>SUMIF('9.Инвестиционна програма'!$B$48:$B$55,$B34,'9.Инвестиционна програма'!H$48:H$55)*$E$5</f>
        <v>0</v>
      </c>
      <c r="W34" s="927">
        <f>SUMIF('9.Инвестиционна програма'!$B$48:$B$55,$B34,'9.Инвестиционна програма'!I$48:I$55)*$E$5</f>
        <v>0</v>
      </c>
      <c r="X34" s="927">
        <f>SUMIF('9.Инвестиционна програма'!$B$48:$B$55,$B34,'9.Инвестиционна програма'!J$48:J$55)*$E$5</f>
        <v>0</v>
      </c>
      <c r="Y34" s="927">
        <f>SUMIF('9.Инвестиционна програма'!$B$48:$B$55,$B34,'9.Инвестиционна програма'!K$48:K$55)*$E$5</f>
        <v>0</v>
      </c>
      <c r="Z34" s="926">
        <f>'11.2. Нови активи отч.год.'!Z35</f>
        <v>0</v>
      </c>
      <c r="AA34" s="930">
        <f>(SUMIF('9.Инвестиционна програма'!$B$57:$B$58,$B34,'9.Инвестиционна програма'!F$57:F$58)+SUMIF('9.Инвестиционна програма'!$B$60:$B$67,$B34,'9.Инвестиционна програма'!F$60:F$67))*$E$5</f>
        <v>0</v>
      </c>
      <c r="AB34" s="927">
        <f>(SUMIF('9.Инвестиционна програма'!$B$57:$B$58,$B34,'9.Инвестиционна програма'!G$57:G$58)+SUMIF('9.Инвестиционна програма'!$B$60:$B$67,$B34,'9.Инвестиционна програма'!G$60:G$67))*$E$5</f>
        <v>0</v>
      </c>
      <c r="AC34" s="927">
        <f>(SUMIF('9.Инвестиционна програма'!$B$57:$B$58,$B34,'9.Инвестиционна програма'!H$57:H$58)+SUMIF('9.Инвестиционна програма'!$B$60:$B$67,$B34,'9.Инвестиционна програма'!H$60:H$67))*$E$5</f>
        <v>0</v>
      </c>
      <c r="AD34" s="927">
        <f>(SUMIF('9.Инвестиционна програма'!$B$57:$B$58,$B34,'9.Инвестиционна програма'!I$57:I$58)+SUMIF('9.Инвестиционна програма'!$B$60:$B$67,$B34,'9.Инвестиционна програма'!I$60:I$67))*$E$5</f>
        <v>0</v>
      </c>
      <c r="AE34" s="927">
        <f>(SUMIF('9.Инвестиционна програма'!$B$57:$B$58,$B34,'9.Инвестиционна програма'!J$57:J$58)+SUMIF('9.Инвестиционна програма'!$B$60:$B$67,$B34,'9.Инвестиционна програма'!J$60:J$67))*$E$5</f>
        <v>0</v>
      </c>
      <c r="AF34" s="933">
        <f>(SUMIF('9.Инвестиционна програма'!$B$57:$B$58,$B34,'9.Инвестиционна програма'!K$57:K$58)+SUMIF('9.Инвестиционна програма'!$B$60:$B$67,$B34,'9.Инвестиционна програма'!K$60:K$67))*$E$5</f>
        <v>0</v>
      </c>
      <c r="AH34" s="566"/>
    </row>
    <row r="35" spans="1:34">
      <c r="A35" s="278"/>
      <c r="B35" s="1632">
        <v>2040202</v>
      </c>
      <c r="C35" s="1633">
        <v>0.02</v>
      </c>
      <c r="D35" s="1814" t="s">
        <v>1008</v>
      </c>
      <c r="E35" s="925">
        <f>'11.2. Нови активи отч.год.'!E36</f>
        <v>255</v>
      </c>
      <c r="F35" s="881">
        <f>SUMIF('9.Инвестиционна програма'!$B$11:$B$34,$B35,'9.Инвестиционна програма'!F$11:F$34)*$E$5</f>
        <v>0</v>
      </c>
      <c r="G35" s="882">
        <f>SUMIF('9.Инвестиционна програма'!$B$11:$B$34,$B35,'9.Инвестиционна програма'!G$11:G$34)*$E$5</f>
        <v>0</v>
      </c>
      <c r="H35" s="882">
        <f>SUMIF('9.Инвестиционна програма'!$B$11:$B$34,$B35,'9.Инвестиционна програма'!H$11:H$34)*$E$5</f>
        <v>0</v>
      </c>
      <c r="I35" s="882">
        <f>SUMIF('9.Инвестиционна програма'!$B$11:$B$34,$B35,'9.Инвестиционна програма'!I$11:I$34)*$E$5</f>
        <v>0</v>
      </c>
      <c r="J35" s="882">
        <f>SUMIF('9.Инвестиционна програма'!$B$11:$B$34,$B35,'9.Инвестиционна програма'!J$11:J$34)*$E$5</f>
        <v>0</v>
      </c>
      <c r="K35" s="883">
        <f>SUMIF('9.Инвестиционна програма'!$B$11:$B$34,$B35,'9.Инвестиционна програма'!K$11:K$34)*$E$5</f>
        <v>0</v>
      </c>
      <c r="L35" s="1487">
        <f>'11.2. Нови активи отч.год.'!L36</f>
        <v>0</v>
      </c>
      <c r="M35" s="930">
        <f>SUMIF('9.Инвестиционна програма'!$B$36:$B$46,$B35,'9.Инвестиционна програма'!F$36:F$46)*$E$5</f>
        <v>0</v>
      </c>
      <c r="N35" s="931">
        <f>SUMIF('9.Инвестиционна програма'!$B$36:$B$46,$B35,'9.Инвестиционна програма'!G$36:G$46)*$E$5</f>
        <v>0</v>
      </c>
      <c r="O35" s="931">
        <f>SUMIF('9.Инвестиционна програма'!$B$36:$B$46,$B35,'9.Инвестиционна програма'!H$36:H$46)*$E$5</f>
        <v>0</v>
      </c>
      <c r="P35" s="931">
        <f>SUMIF('9.Инвестиционна програма'!$B$36:$B$46,$B35,'9.Инвестиционна програма'!I$36:I$46)*$E$5</f>
        <v>0</v>
      </c>
      <c r="Q35" s="931">
        <f>SUMIF('9.Инвестиционна програма'!$B$36:$B$46,$B35,'9.Инвестиционна програма'!J$36:J$46)*$E$5</f>
        <v>0</v>
      </c>
      <c r="R35" s="932">
        <f>SUMIF('9.Инвестиционна програма'!$B$36:$B$46,$B35,'9.Инвестиционна програма'!K$36:K$46)*$E$5</f>
        <v>0</v>
      </c>
      <c r="S35" s="926">
        <f>'11.2. Нови активи отч.год.'!S36</f>
        <v>0</v>
      </c>
      <c r="T35" s="927">
        <f>SUMIF('9.Инвестиционна програма'!$B$48:$B$55,$B35,'9.Инвестиционна програма'!F$48:F$55)*$E$5</f>
        <v>0</v>
      </c>
      <c r="U35" s="927">
        <f>SUMIF('9.Инвестиционна програма'!$B$48:$B$55,$B35,'9.Инвестиционна програма'!G$48:G$55)*$E$5</f>
        <v>0</v>
      </c>
      <c r="V35" s="927">
        <f>SUMIF('9.Инвестиционна програма'!$B$48:$B$55,$B35,'9.Инвестиционна програма'!H$48:H$55)*$E$5</f>
        <v>0</v>
      </c>
      <c r="W35" s="927">
        <f>SUMIF('9.Инвестиционна програма'!$B$48:$B$55,$B35,'9.Инвестиционна програма'!I$48:I$55)*$E$5</f>
        <v>0</v>
      </c>
      <c r="X35" s="927">
        <f>SUMIF('9.Инвестиционна програма'!$B$48:$B$55,$B35,'9.Инвестиционна програма'!J$48:J$55)*$E$5</f>
        <v>0</v>
      </c>
      <c r="Y35" s="927">
        <f>SUMIF('9.Инвестиционна програма'!$B$48:$B$55,$B35,'9.Инвестиционна програма'!K$48:K$55)*$E$5</f>
        <v>0</v>
      </c>
      <c r="Z35" s="926">
        <f>'11.2. Нови активи отч.год.'!Z36</f>
        <v>255</v>
      </c>
      <c r="AA35" s="930">
        <f>(SUMIF('9.Инвестиционна програма'!$B$57:$B$58,$B35,'9.Инвестиционна програма'!F$57:F$58)+SUMIF('9.Инвестиционна програма'!$B$60:$B$67,$B35,'9.Инвестиционна програма'!F$60:F$67))*$E$5</f>
        <v>0</v>
      </c>
      <c r="AB35" s="927">
        <f>(SUMIF('9.Инвестиционна програма'!$B$57:$B$58,$B35,'9.Инвестиционна програма'!G$57:G$58)+SUMIF('9.Инвестиционна програма'!$B$60:$B$67,$B35,'9.Инвестиционна програма'!G$60:G$67))*$E$5</f>
        <v>0</v>
      </c>
      <c r="AC35" s="927">
        <f>(SUMIF('9.Инвестиционна програма'!$B$57:$B$58,$B35,'9.Инвестиционна програма'!H$57:H$58)+SUMIF('9.Инвестиционна програма'!$B$60:$B$67,$B35,'9.Инвестиционна програма'!H$60:H$67))*$E$5</f>
        <v>0</v>
      </c>
      <c r="AD35" s="927">
        <f>(SUMIF('9.Инвестиционна програма'!$B$57:$B$58,$B35,'9.Инвестиционна програма'!I$57:I$58)+SUMIF('9.Инвестиционна програма'!$B$60:$B$67,$B35,'9.Инвестиционна програма'!I$60:I$67))*$E$5</f>
        <v>0</v>
      </c>
      <c r="AE35" s="927">
        <f>(SUMIF('9.Инвестиционна програма'!$B$57:$B$58,$B35,'9.Инвестиционна програма'!J$57:J$58)+SUMIF('9.Инвестиционна програма'!$B$60:$B$67,$B35,'9.Инвестиционна програма'!J$60:J$67))*$E$5</f>
        <v>0</v>
      </c>
      <c r="AF35" s="933">
        <f>(SUMIF('9.Инвестиционна програма'!$B$57:$B$58,$B35,'9.Инвестиционна програма'!K$57:K$58)+SUMIF('9.Инвестиционна програма'!$B$60:$B$67,$B35,'9.Инвестиционна програма'!K$60:K$67))*$E$5</f>
        <v>0</v>
      </c>
      <c r="AH35" s="566"/>
    </row>
    <row r="36" spans="1:34">
      <c r="A36" s="278"/>
      <c r="B36" s="1632">
        <v>2040203</v>
      </c>
      <c r="C36" s="1633">
        <v>0.02</v>
      </c>
      <c r="D36" s="1814" t="s">
        <v>590</v>
      </c>
      <c r="E36" s="925">
        <f>'11.2. Нови активи отч.год.'!E37</f>
        <v>21</v>
      </c>
      <c r="F36" s="881">
        <f>SUMIF('9.Инвестиционна програма'!$B$11:$B$34,$B36,'9.Инвестиционна програма'!F$11:F$34)*$E$5</f>
        <v>0</v>
      </c>
      <c r="G36" s="882">
        <f>SUMIF('9.Инвестиционна програма'!$B$11:$B$34,$B36,'9.Инвестиционна програма'!G$11:G$34)*$E$5</f>
        <v>0</v>
      </c>
      <c r="H36" s="882">
        <f>SUMIF('9.Инвестиционна програма'!$B$11:$B$34,$B36,'9.Инвестиционна програма'!H$11:H$34)*$E$5</f>
        <v>0</v>
      </c>
      <c r="I36" s="882">
        <f>SUMIF('9.Инвестиционна програма'!$B$11:$B$34,$B36,'9.Инвестиционна програма'!I$11:I$34)*$E$5</f>
        <v>0</v>
      </c>
      <c r="J36" s="882">
        <f>SUMIF('9.Инвестиционна програма'!$B$11:$B$34,$B36,'9.Инвестиционна програма'!J$11:J$34)*$E$5</f>
        <v>0</v>
      </c>
      <c r="K36" s="883">
        <f>SUMIF('9.Инвестиционна програма'!$B$11:$B$34,$B36,'9.Инвестиционна програма'!K$11:K$34)*$E$5</f>
        <v>0</v>
      </c>
      <c r="L36" s="1487">
        <f>'11.2. Нови активи отч.год.'!L37</f>
        <v>0</v>
      </c>
      <c r="M36" s="930">
        <f>SUMIF('9.Инвестиционна програма'!$B$36:$B$46,$B36,'9.Инвестиционна програма'!F$36:F$46)*$E$5</f>
        <v>0</v>
      </c>
      <c r="N36" s="931">
        <f>SUMIF('9.Инвестиционна програма'!$B$36:$B$46,$B36,'9.Инвестиционна програма'!G$36:G$46)*$E$5</f>
        <v>0</v>
      </c>
      <c r="O36" s="931">
        <f>SUMIF('9.Инвестиционна програма'!$B$36:$B$46,$B36,'9.Инвестиционна програма'!H$36:H$46)*$E$5</f>
        <v>0</v>
      </c>
      <c r="P36" s="931">
        <f>SUMIF('9.Инвестиционна програма'!$B$36:$B$46,$B36,'9.Инвестиционна програма'!I$36:I$46)*$E$5</f>
        <v>0</v>
      </c>
      <c r="Q36" s="931">
        <f>SUMIF('9.Инвестиционна програма'!$B$36:$B$46,$B36,'9.Инвестиционна програма'!J$36:J$46)*$E$5</f>
        <v>0</v>
      </c>
      <c r="R36" s="932">
        <f>SUMIF('9.Инвестиционна програма'!$B$36:$B$46,$B36,'9.Инвестиционна програма'!K$36:K$46)*$E$5</f>
        <v>0</v>
      </c>
      <c r="S36" s="926">
        <f>'11.2. Нови активи отч.год.'!S37</f>
        <v>0</v>
      </c>
      <c r="T36" s="927">
        <f>SUMIF('9.Инвестиционна програма'!$B$48:$B$55,$B36,'9.Инвестиционна програма'!F$48:F$55)*$E$5</f>
        <v>0</v>
      </c>
      <c r="U36" s="927">
        <f>SUMIF('9.Инвестиционна програма'!$B$48:$B$55,$B36,'9.Инвестиционна програма'!G$48:G$55)*$E$5</f>
        <v>0</v>
      </c>
      <c r="V36" s="927">
        <f>SUMIF('9.Инвестиционна програма'!$B$48:$B$55,$B36,'9.Инвестиционна програма'!H$48:H$55)*$E$5</f>
        <v>0</v>
      </c>
      <c r="W36" s="927">
        <f>SUMIF('9.Инвестиционна програма'!$B$48:$B$55,$B36,'9.Инвестиционна програма'!I$48:I$55)*$E$5</f>
        <v>0</v>
      </c>
      <c r="X36" s="927">
        <f>SUMIF('9.Инвестиционна програма'!$B$48:$B$55,$B36,'9.Инвестиционна програма'!J$48:J$55)*$E$5</f>
        <v>0</v>
      </c>
      <c r="Y36" s="927">
        <f>SUMIF('9.Инвестиционна програма'!$B$48:$B$55,$B36,'9.Инвестиционна програма'!K$48:K$55)*$E$5</f>
        <v>0</v>
      </c>
      <c r="Z36" s="926">
        <f>'11.2. Нови активи отч.год.'!Z37</f>
        <v>21</v>
      </c>
      <c r="AA36" s="930">
        <f>(SUMIF('9.Инвестиционна програма'!$B$57:$B$58,$B36,'9.Инвестиционна програма'!F$57:F$58)+SUMIF('9.Инвестиционна програма'!$B$60:$B$67,$B36,'9.Инвестиционна програма'!F$60:F$67))*$E$5</f>
        <v>0</v>
      </c>
      <c r="AB36" s="927">
        <f>(SUMIF('9.Инвестиционна програма'!$B$57:$B$58,$B36,'9.Инвестиционна програма'!G$57:G$58)+SUMIF('9.Инвестиционна програма'!$B$60:$B$67,$B36,'9.Инвестиционна програма'!G$60:G$67))*$E$5</f>
        <v>0</v>
      </c>
      <c r="AC36" s="927">
        <f>(SUMIF('9.Инвестиционна програма'!$B$57:$B$58,$B36,'9.Инвестиционна програма'!H$57:H$58)+SUMIF('9.Инвестиционна програма'!$B$60:$B$67,$B36,'9.Инвестиционна програма'!H$60:H$67))*$E$5</f>
        <v>0</v>
      </c>
      <c r="AD36" s="927">
        <f>(SUMIF('9.Инвестиционна програма'!$B$57:$B$58,$B36,'9.Инвестиционна програма'!I$57:I$58)+SUMIF('9.Инвестиционна програма'!$B$60:$B$67,$B36,'9.Инвестиционна програма'!I$60:I$67))*$E$5</f>
        <v>0</v>
      </c>
      <c r="AE36" s="927">
        <f>(SUMIF('9.Инвестиционна програма'!$B$57:$B$58,$B36,'9.Инвестиционна програма'!J$57:J$58)+SUMIF('9.Инвестиционна програма'!$B$60:$B$67,$B36,'9.Инвестиционна програма'!J$60:J$67))*$E$5</f>
        <v>0</v>
      </c>
      <c r="AF36" s="933">
        <f>(SUMIF('9.Инвестиционна програма'!$B$57:$B$58,$B36,'9.Инвестиционна програма'!K$57:K$58)+SUMIF('9.Инвестиционна програма'!$B$60:$B$67,$B36,'9.Инвестиционна програма'!K$60:K$67))*$E$5</f>
        <v>0</v>
      </c>
      <c r="AH36" s="566"/>
    </row>
    <row r="37" spans="1:34">
      <c r="A37" s="278"/>
      <c r="B37" s="1632">
        <v>2040204</v>
      </c>
      <c r="C37" s="1633">
        <v>0.02</v>
      </c>
      <c r="D37" s="1817" t="s">
        <v>591</v>
      </c>
      <c r="E37" s="925">
        <f>'11.2. Нови активи отч.год.'!E38</f>
        <v>0</v>
      </c>
      <c r="F37" s="881">
        <f>SUMIF('9.Инвестиционна програма'!$B$11:$B$34,$B37,'9.Инвестиционна програма'!F$11:F$34)*$E$5</f>
        <v>0</v>
      </c>
      <c r="G37" s="882">
        <f>SUMIF('9.Инвестиционна програма'!$B$11:$B$34,$B37,'9.Инвестиционна програма'!G$11:G$34)*$E$5</f>
        <v>10</v>
      </c>
      <c r="H37" s="882">
        <f>SUMIF('9.Инвестиционна програма'!$B$11:$B$34,$B37,'9.Инвестиционна програма'!H$11:H$34)*$E$5</f>
        <v>10</v>
      </c>
      <c r="I37" s="882">
        <f>SUMIF('9.Инвестиционна програма'!$B$11:$B$34,$B37,'9.Инвестиционна програма'!I$11:I$34)*$E$5</f>
        <v>10</v>
      </c>
      <c r="J37" s="882">
        <f>SUMIF('9.Инвестиционна програма'!$B$11:$B$34,$B37,'9.Инвестиционна програма'!J$11:J$34)*$E$5</f>
        <v>10</v>
      </c>
      <c r="K37" s="883">
        <f>SUMIF('9.Инвестиционна програма'!$B$11:$B$34,$B37,'9.Инвестиционна програма'!K$11:K$34)*$E$5</f>
        <v>10</v>
      </c>
      <c r="L37" s="1487">
        <f>'11.2. Нови активи отч.год.'!L38</f>
        <v>0</v>
      </c>
      <c r="M37" s="930">
        <f>SUMIF('9.Инвестиционна програма'!$B$36:$B$46,$B37,'9.Инвестиционна програма'!F$36:F$46)*$E$5</f>
        <v>0</v>
      </c>
      <c r="N37" s="931">
        <f>SUMIF('9.Инвестиционна програма'!$B$36:$B$46,$B37,'9.Инвестиционна програма'!G$36:G$46)*$E$5</f>
        <v>0</v>
      </c>
      <c r="O37" s="931">
        <f>SUMIF('9.Инвестиционна програма'!$B$36:$B$46,$B37,'9.Инвестиционна програма'!H$36:H$46)*$E$5</f>
        <v>0</v>
      </c>
      <c r="P37" s="931">
        <f>SUMIF('9.Инвестиционна програма'!$B$36:$B$46,$B37,'9.Инвестиционна програма'!I$36:I$46)*$E$5</f>
        <v>0</v>
      </c>
      <c r="Q37" s="931">
        <f>SUMIF('9.Инвестиционна програма'!$B$36:$B$46,$B37,'9.Инвестиционна програма'!J$36:J$46)*$E$5</f>
        <v>0</v>
      </c>
      <c r="R37" s="932">
        <f>SUMIF('9.Инвестиционна програма'!$B$36:$B$46,$B37,'9.Инвестиционна програма'!K$36:K$46)*$E$5</f>
        <v>0</v>
      </c>
      <c r="S37" s="926">
        <f>'11.2. Нови активи отч.год.'!S38</f>
        <v>0</v>
      </c>
      <c r="T37" s="927">
        <f>SUMIF('9.Инвестиционна програма'!$B$48:$B$55,$B37,'9.Инвестиционна програма'!F$48:F$55)*$E$5</f>
        <v>0</v>
      </c>
      <c r="U37" s="927">
        <f>SUMIF('9.Инвестиционна програма'!$B$48:$B$55,$B37,'9.Инвестиционна програма'!G$48:G$55)*$E$5</f>
        <v>0</v>
      </c>
      <c r="V37" s="927">
        <f>SUMIF('9.Инвестиционна програма'!$B$48:$B$55,$B37,'9.Инвестиционна програма'!H$48:H$55)*$E$5</f>
        <v>0</v>
      </c>
      <c r="W37" s="927">
        <f>SUMIF('9.Инвестиционна програма'!$B$48:$B$55,$B37,'9.Инвестиционна програма'!I$48:I$55)*$E$5</f>
        <v>0</v>
      </c>
      <c r="X37" s="927">
        <f>SUMIF('9.Инвестиционна програма'!$B$48:$B$55,$B37,'9.Инвестиционна програма'!J$48:J$55)*$E$5</f>
        <v>0</v>
      </c>
      <c r="Y37" s="927">
        <f>SUMIF('9.Инвестиционна програма'!$B$48:$B$55,$B37,'9.Инвестиционна програма'!K$48:K$55)*$E$5</f>
        <v>0</v>
      </c>
      <c r="Z37" s="926">
        <f>'11.2. Нови активи отч.год.'!Z38</f>
        <v>0</v>
      </c>
      <c r="AA37" s="930">
        <f>(SUMIF('9.Инвестиционна програма'!$B$57:$B$58,$B37,'9.Инвестиционна програма'!F$57:F$58)+SUMIF('9.Инвестиционна програма'!$B$60:$B$67,$B37,'9.Инвестиционна програма'!F$60:F$67))*$E$5</f>
        <v>0</v>
      </c>
      <c r="AB37" s="927">
        <f>(SUMIF('9.Инвестиционна програма'!$B$57:$B$58,$B37,'9.Инвестиционна програма'!G$57:G$58)+SUMIF('9.Инвестиционна програма'!$B$60:$B$67,$B37,'9.Инвестиционна програма'!G$60:G$67))*$E$5</f>
        <v>0</v>
      </c>
      <c r="AC37" s="927">
        <f>(SUMIF('9.Инвестиционна програма'!$B$57:$B$58,$B37,'9.Инвестиционна програма'!H$57:H$58)+SUMIF('9.Инвестиционна програма'!$B$60:$B$67,$B37,'9.Инвестиционна програма'!H$60:H$67))*$E$5</f>
        <v>0</v>
      </c>
      <c r="AD37" s="927">
        <f>(SUMIF('9.Инвестиционна програма'!$B$57:$B$58,$B37,'9.Инвестиционна програма'!I$57:I$58)+SUMIF('9.Инвестиционна програма'!$B$60:$B$67,$B37,'9.Инвестиционна програма'!I$60:I$67))*$E$5</f>
        <v>0</v>
      </c>
      <c r="AE37" s="927">
        <f>(SUMIF('9.Инвестиционна програма'!$B$57:$B$58,$B37,'9.Инвестиционна програма'!J$57:J$58)+SUMIF('9.Инвестиционна програма'!$B$60:$B$67,$B37,'9.Инвестиционна програма'!J$60:J$67))*$E$5</f>
        <v>0</v>
      </c>
      <c r="AF37" s="933">
        <f>(SUMIF('9.Инвестиционна програма'!$B$57:$B$58,$B37,'9.Инвестиционна програма'!K$57:K$58)+SUMIF('9.Инвестиционна програма'!$B$60:$B$67,$B37,'9.Инвестиционна програма'!K$60:K$67))*$E$5</f>
        <v>0</v>
      </c>
      <c r="AH37" s="566"/>
    </row>
    <row r="38" spans="1:34">
      <c r="A38" s="278"/>
      <c r="B38" s="1632">
        <v>2040205</v>
      </c>
      <c r="C38" s="1633">
        <v>0.02</v>
      </c>
      <c r="D38" s="1814" t="s">
        <v>592</v>
      </c>
      <c r="E38" s="925">
        <f>'11.2. Нови активи отч.год.'!E39</f>
        <v>888</v>
      </c>
      <c r="F38" s="881">
        <f>SUMIF('9.Инвестиционна програма'!$B$11:$B$34,$B38,'9.Инвестиционна програма'!F$11:F$34)*$E$5</f>
        <v>1076</v>
      </c>
      <c r="G38" s="882">
        <f>SUMIF('9.Инвестиционна програма'!$B$11:$B$34,$B38,'9.Инвестиционна програма'!G$11:G$34)*$E$5</f>
        <v>480</v>
      </c>
      <c r="H38" s="882">
        <f>SUMIF('9.Инвестиционна програма'!$B$11:$B$34,$B38,'9.Инвестиционна програма'!H$11:H$34)*$E$5</f>
        <v>460</v>
      </c>
      <c r="I38" s="882">
        <f>SUMIF('9.Инвестиционна програма'!$B$11:$B$34,$B38,'9.Инвестиционна програма'!I$11:I$34)*$E$5</f>
        <v>390</v>
      </c>
      <c r="J38" s="882">
        <f>SUMIF('9.Инвестиционна програма'!$B$11:$B$34,$B38,'9.Инвестиционна програма'!J$11:J$34)*$E$5</f>
        <v>450</v>
      </c>
      <c r="K38" s="883">
        <f>SUMIF('9.Инвестиционна програма'!$B$11:$B$34,$B38,'9.Инвестиционна програма'!K$11:K$34)*$E$5</f>
        <v>400</v>
      </c>
      <c r="L38" s="1487">
        <f>'11.2. Нови активи отч.год.'!L39</f>
        <v>0</v>
      </c>
      <c r="M38" s="930">
        <f>SUMIF('9.Инвестиционна програма'!$B$36:$B$46,$B38,'9.Инвестиционна програма'!F$36:F$46)*$E$5</f>
        <v>0</v>
      </c>
      <c r="N38" s="931">
        <f>SUMIF('9.Инвестиционна програма'!$B$36:$B$46,$B38,'9.Инвестиционна програма'!G$36:G$46)*$E$5</f>
        <v>0</v>
      </c>
      <c r="O38" s="931">
        <f>SUMIF('9.Инвестиционна програма'!$B$36:$B$46,$B38,'9.Инвестиционна програма'!H$36:H$46)*$E$5</f>
        <v>0</v>
      </c>
      <c r="P38" s="931">
        <f>SUMIF('9.Инвестиционна програма'!$B$36:$B$46,$B38,'9.Инвестиционна програма'!I$36:I$46)*$E$5</f>
        <v>0</v>
      </c>
      <c r="Q38" s="931">
        <f>SUMIF('9.Инвестиционна програма'!$B$36:$B$46,$B38,'9.Инвестиционна програма'!J$36:J$46)*$E$5</f>
        <v>0</v>
      </c>
      <c r="R38" s="932">
        <f>SUMIF('9.Инвестиционна програма'!$B$36:$B$46,$B38,'9.Инвестиционна програма'!K$36:K$46)*$E$5</f>
        <v>0</v>
      </c>
      <c r="S38" s="926">
        <f>'11.2. Нови активи отч.год.'!S39</f>
        <v>0</v>
      </c>
      <c r="T38" s="927">
        <f>SUMIF('9.Инвестиционна програма'!$B$48:$B$55,$B38,'9.Инвестиционна програма'!F$48:F$55)*$E$5</f>
        <v>0</v>
      </c>
      <c r="U38" s="927">
        <f>SUMIF('9.Инвестиционна програма'!$B$48:$B$55,$B38,'9.Инвестиционна програма'!G$48:G$55)*$E$5</f>
        <v>0</v>
      </c>
      <c r="V38" s="927">
        <f>SUMIF('9.Инвестиционна програма'!$B$48:$B$55,$B38,'9.Инвестиционна програма'!H$48:H$55)*$E$5</f>
        <v>0</v>
      </c>
      <c r="W38" s="927">
        <f>SUMIF('9.Инвестиционна програма'!$B$48:$B$55,$B38,'9.Инвестиционна програма'!I$48:I$55)*$E$5</f>
        <v>0</v>
      </c>
      <c r="X38" s="927">
        <f>SUMIF('9.Инвестиционна програма'!$B$48:$B$55,$B38,'9.Инвестиционна програма'!J$48:J$55)*$E$5</f>
        <v>0</v>
      </c>
      <c r="Y38" s="927">
        <f>SUMIF('9.Инвестиционна програма'!$B$48:$B$55,$B38,'9.Инвестиционна програма'!K$48:K$55)*$E$5</f>
        <v>0</v>
      </c>
      <c r="Z38" s="926">
        <f>'11.2. Нови активи отч.год.'!Z39</f>
        <v>888</v>
      </c>
      <c r="AA38" s="930">
        <f>(SUMIF('9.Инвестиционна програма'!$B$57:$B$58,$B38,'9.Инвестиционна програма'!F$57:F$58)+SUMIF('9.Инвестиционна програма'!$B$60:$B$67,$B38,'9.Инвестиционна програма'!F$60:F$67))*$E$5</f>
        <v>0</v>
      </c>
      <c r="AB38" s="927">
        <f>(SUMIF('9.Инвестиционна програма'!$B$57:$B$58,$B38,'9.Инвестиционна програма'!G$57:G$58)+SUMIF('9.Инвестиционна програма'!$B$60:$B$67,$B38,'9.Инвестиционна програма'!G$60:G$67))*$E$5</f>
        <v>0</v>
      </c>
      <c r="AC38" s="927">
        <f>(SUMIF('9.Инвестиционна програма'!$B$57:$B$58,$B38,'9.Инвестиционна програма'!H$57:H$58)+SUMIF('9.Инвестиционна програма'!$B$60:$B$67,$B38,'9.Инвестиционна програма'!H$60:H$67))*$E$5</f>
        <v>0</v>
      </c>
      <c r="AD38" s="927">
        <f>(SUMIF('9.Инвестиционна програма'!$B$57:$B$58,$B38,'9.Инвестиционна програма'!I$57:I$58)+SUMIF('9.Инвестиционна програма'!$B$60:$B$67,$B38,'9.Инвестиционна програма'!I$60:I$67))*$E$5</f>
        <v>0</v>
      </c>
      <c r="AE38" s="927">
        <f>(SUMIF('9.Инвестиционна програма'!$B$57:$B$58,$B38,'9.Инвестиционна програма'!J$57:J$58)+SUMIF('9.Инвестиционна програма'!$B$60:$B$67,$B38,'9.Инвестиционна програма'!J$60:J$67))*$E$5</f>
        <v>0</v>
      </c>
      <c r="AF38" s="933">
        <f>(SUMIF('9.Инвестиционна програма'!$B$57:$B$58,$B38,'9.Инвестиционна програма'!K$57:K$58)+SUMIF('9.Инвестиционна програма'!$B$60:$B$67,$B38,'9.Инвестиционна програма'!K$60:K$67))*$E$5</f>
        <v>0</v>
      </c>
      <c r="AH38" s="566"/>
    </row>
    <row r="39" spans="1:34">
      <c r="A39" s="278"/>
      <c r="B39" s="1632">
        <v>2040206</v>
      </c>
      <c r="C39" s="1633">
        <v>0.02</v>
      </c>
      <c r="D39" s="1814" t="s">
        <v>593</v>
      </c>
      <c r="E39" s="925">
        <f>'11.2. Нови активи отч.год.'!E40</f>
        <v>0</v>
      </c>
      <c r="F39" s="881">
        <f>SUMIF('9.Инвестиционна програма'!$B$11:$B$34,$B39,'9.Инвестиционна програма'!F$11:F$34)*$E$5</f>
        <v>0</v>
      </c>
      <c r="G39" s="882">
        <f>SUMIF('9.Инвестиционна програма'!$B$11:$B$34,$B39,'9.Инвестиционна програма'!G$11:G$34)*$E$5</f>
        <v>0</v>
      </c>
      <c r="H39" s="882">
        <f>SUMIF('9.Инвестиционна програма'!$B$11:$B$34,$B39,'9.Инвестиционна програма'!H$11:H$34)*$E$5</f>
        <v>0</v>
      </c>
      <c r="I39" s="882">
        <f>SUMIF('9.Инвестиционна програма'!$B$11:$B$34,$B39,'9.Инвестиционна програма'!I$11:I$34)*$E$5</f>
        <v>0</v>
      </c>
      <c r="J39" s="882">
        <f>SUMIF('9.Инвестиционна програма'!$B$11:$B$34,$B39,'9.Инвестиционна програма'!J$11:J$34)*$E$5</f>
        <v>0</v>
      </c>
      <c r="K39" s="883">
        <f>SUMIF('9.Инвестиционна програма'!$B$11:$B$34,$B39,'9.Инвестиционна програма'!K$11:K$34)*$E$5</f>
        <v>0</v>
      </c>
      <c r="L39" s="1487">
        <f>'11.2. Нови активи отч.год.'!L40</f>
        <v>4</v>
      </c>
      <c r="M39" s="930">
        <f>SUMIF('9.Инвестиционна програма'!$B$36:$B$46,$B39,'9.Инвестиционна програма'!F$36:F$46)*$E$5</f>
        <v>55</v>
      </c>
      <c r="N39" s="931">
        <f>SUMIF('9.Инвестиционна програма'!$B$36:$B$46,$B39,'9.Инвестиционна програма'!G$36:G$46)*$E$5</f>
        <v>43</v>
      </c>
      <c r="O39" s="931">
        <f>SUMIF('9.Инвестиционна програма'!$B$36:$B$46,$B39,'9.Инвестиционна програма'!H$36:H$46)*$E$5</f>
        <v>38</v>
      </c>
      <c r="P39" s="931">
        <f>SUMIF('9.Инвестиционна програма'!$B$36:$B$46,$B39,'9.Инвестиционна програма'!I$36:I$46)*$E$5</f>
        <v>72</v>
      </c>
      <c r="Q39" s="931">
        <f>SUMIF('9.Инвестиционна програма'!$B$36:$B$46,$B39,'9.Инвестиционна програма'!J$36:J$46)*$E$5</f>
        <v>61</v>
      </c>
      <c r="R39" s="932">
        <f>SUMIF('9.Инвестиционна програма'!$B$36:$B$46,$B39,'9.Инвестиционна програма'!K$36:K$46)*$E$5</f>
        <v>43</v>
      </c>
      <c r="S39" s="926">
        <f>'11.2. Нови активи отч.год.'!S40</f>
        <v>0</v>
      </c>
      <c r="T39" s="927">
        <f>SUMIF('9.Инвестиционна програма'!$B$48:$B$55,$B39,'9.Инвестиционна програма'!F$48:F$55)*$E$5</f>
        <v>0</v>
      </c>
      <c r="U39" s="927">
        <f>SUMIF('9.Инвестиционна програма'!$B$48:$B$55,$B39,'9.Инвестиционна програма'!G$48:G$55)*$E$5</f>
        <v>0</v>
      </c>
      <c r="V39" s="927">
        <f>SUMIF('9.Инвестиционна програма'!$B$48:$B$55,$B39,'9.Инвестиционна програма'!H$48:H$55)*$E$5</f>
        <v>0</v>
      </c>
      <c r="W39" s="927">
        <f>SUMIF('9.Инвестиционна програма'!$B$48:$B$55,$B39,'9.Инвестиционна програма'!I$48:I$55)*$E$5</f>
        <v>0</v>
      </c>
      <c r="X39" s="927">
        <f>SUMIF('9.Инвестиционна програма'!$B$48:$B$55,$B39,'9.Инвестиционна програма'!J$48:J$55)*$E$5</f>
        <v>0</v>
      </c>
      <c r="Y39" s="927">
        <f>SUMIF('9.Инвестиционна програма'!$B$48:$B$55,$B39,'9.Инвестиционна програма'!K$48:K$55)*$E$5</f>
        <v>0</v>
      </c>
      <c r="Z39" s="926">
        <f>'11.2. Нови активи отч.год.'!Z40</f>
        <v>4</v>
      </c>
      <c r="AA39" s="930">
        <f>(SUMIF('9.Инвестиционна програма'!$B$57:$B$58,$B39,'9.Инвестиционна програма'!F$57:F$58)+SUMIF('9.Инвестиционна програма'!$B$60:$B$67,$B39,'9.Инвестиционна програма'!F$60:F$67))*$E$5</f>
        <v>0</v>
      </c>
      <c r="AB39" s="927">
        <f>(SUMIF('9.Инвестиционна програма'!$B$57:$B$58,$B39,'9.Инвестиционна програма'!G$57:G$58)+SUMIF('9.Инвестиционна програма'!$B$60:$B$67,$B39,'9.Инвестиционна програма'!G$60:G$67))*$E$5</f>
        <v>0</v>
      </c>
      <c r="AC39" s="927">
        <f>(SUMIF('9.Инвестиционна програма'!$B$57:$B$58,$B39,'9.Инвестиционна програма'!H$57:H$58)+SUMIF('9.Инвестиционна програма'!$B$60:$B$67,$B39,'9.Инвестиционна програма'!H$60:H$67))*$E$5</f>
        <v>0</v>
      </c>
      <c r="AD39" s="927">
        <f>(SUMIF('9.Инвестиционна програма'!$B$57:$B$58,$B39,'9.Инвестиционна програма'!I$57:I$58)+SUMIF('9.Инвестиционна програма'!$B$60:$B$67,$B39,'9.Инвестиционна програма'!I$60:I$67))*$E$5</f>
        <v>0</v>
      </c>
      <c r="AE39" s="927">
        <f>(SUMIF('9.Инвестиционна програма'!$B$57:$B$58,$B39,'9.Инвестиционна програма'!J$57:J$58)+SUMIF('9.Инвестиционна програма'!$B$60:$B$67,$B39,'9.Инвестиционна програма'!J$60:J$67))*$E$5</f>
        <v>0</v>
      </c>
      <c r="AF39" s="933">
        <f>(SUMIF('9.Инвестиционна програма'!$B$57:$B$58,$B39,'9.Инвестиционна програма'!K$57:K$58)+SUMIF('9.Инвестиционна програма'!$B$60:$B$67,$B39,'9.Инвестиционна програма'!K$60:K$67))*$E$5</f>
        <v>0</v>
      </c>
      <c r="AH39" s="566"/>
    </row>
    <row r="40" spans="1:34" ht="24">
      <c r="A40" s="278"/>
      <c r="B40" s="1632">
        <v>2040207</v>
      </c>
      <c r="C40" s="1633">
        <v>0.04</v>
      </c>
      <c r="D40" s="1814" t="s">
        <v>594</v>
      </c>
      <c r="E40" s="925">
        <f>'11.2. Нови активи отч.год.'!E41</f>
        <v>0</v>
      </c>
      <c r="F40" s="881">
        <f>SUMIF('9.Инвестиционна програма'!$B$11:$B$34,$B40,'9.Инвестиционна програма'!F$11:F$34)*$E$5</f>
        <v>277</v>
      </c>
      <c r="G40" s="882">
        <f>SUMIF('9.Инвестиционна програма'!$B$11:$B$34,$B40,'9.Инвестиционна програма'!G$11:G$34)*$E$5</f>
        <v>100</v>
      </c>
      <c r="H40" s="882">
        <f>SUMIF('9.Инвестиционна програма'!$B$11:$B$34,$B40,'9.Инвестиционна програма'!H$11:H$34)*$E$5</f>
        <v>95</v>
      </c>
      <c r="I40" s="882">
        <f>SUMIF('9.Инвестиционна програма'!$B$11:$B$34,$B40,'9.Инвестиционна програма'!I$11:I$34)*$E$5</f>
        <v>100</v>
      </c>
      <c r="J40" s="882">
        <f>SUMIF('9.Инвестиционна програма'!$B$11:$B$34,$B40,'9.Инвестиционна програма'!J$11:J$34)*$E$5</f>
        <v>90</v>
      </c>
      <c r="K40" s="883">
        <f>SUMIF('9.Инвестиционна програма'!$B$11:$B$34,$B40,'9.Инвестиционна програма'!K$11:K$34)*$E$5</f>
        <v>85</v>
      </c>
      <c r="L40" s="1487">
        <f>'11.2. Нови активи отч.год.'!L41</f>
        <v>0</v>
      </c>
      <c r="M40" s="930">
        <f>SUMIF('9.Инвестиционна програма'!$B$36:$B$46,$B40,'9.Инвестиционна програма'!F$36:F$46)*$E$5</f>
        <v>0</v>
      </c>
      <c r="N40" s="931">
        <f>SUMIF('9.Инвестиционна програма'!$B$36:$B$46,$B40,'9.Инвестиционна програма'!G$36:G$46)*$E$5</f>
        <v>0</v>
      </c>
      <c r="O40" s="931">
        <f>SUMIF('9.Инвестиционна програма'!$B$36:$B$46,$B40,'9.Инвестиционна програма'!H$36:H$46)*$E$5</f>
        <v>0</v>
      </c>
      <c r="P40" s="931">
        <f>SUMIF('9.Инвестиционна програма'!$B$36:$B$46,$B40,'9.Инвестиционна програма'!I$36:I$46)*$E$5</f>
        <v>0</v>
      </c>
      <c r="Q40" s="931">
        <f>SUMIF('9.Инвестиционна програма'!$B$36:$B$46,$B40,'9.Инвестиционна програма'!J$36:J$46)*$E$5</f>
        <v>0</v>
      </c>
      <c r="R40" s="932">
        <f>SUMIF('9.Инвестиционна програма'!$B$36:$B$46,$B40,'9.Инвестиционна програма'!K$36:K$46)*$E$5</f>
        <v>0</v>
      </c>
      <c r="S40" s="926">
        <f>'11.2. Нови активи отч.год.'!S41</f>
        <v>0</v>
      </c>
      <c r="T40" s="927">
        <f>SUMIF('9.Инвестиционна програма'!$B$48:$B$55,$B40,'9.Инвестиционна програма'!F$48:F$55)*$E$5</f>
        <v>0</v>
      </c>
      <c r="U40" s="927">
        <f>SUMIF('9.Инвестиционна програма'!$B$48:$B$55,$B40,'9.Инвестиционна програма'!G$48:G$55)*$E$5</f>
        <v>39</v>
      </c>
      <c r="V40" s="927">
        <f>SUMIF('9.Инвестиционна програма'!$B$48:$B$55,$B40,'9.Инвестиционна програма'!H$48:H$55)*$E$5</f>
        <v>34</v>
      </c>
      <c r="W40" s="927">
        <f>SUMIF('9.Инвестиционна програма'!$B$48:$B$55,$B40,'9.Инвестиционна програма'!I$48:I$55)*$E$5</f>
        <v>46</v>
      </c>
      <c r="X40" s="927">
        <f>SUMIF('9.Инвестиционна програма'!$B$48:$B$55,$B40,'9.Инвестиционна програма'!J$48:J$55)*$E$5</f>
        <v>31</v>
      </c>
      <c r="Y40" s="927">
        <f>SUMIF('9.Инвестиционна програма'!$B$48:$B$55,$B40,'9.Инвестиционна програма'!K$48:K$55)*$E$5</f>
        <v>41</v>
      </c>
      <c r="Z40" s="926">
        <f>'11.2. Нови активи отч.год.'!Z41</f>
        <v>0</v>
      </c>
      <c r="AA40" s="930">
        <f>(SUMIF('9.Инвестиционна програма'!$B$57:$B$58,$B40,'9.Инвестиционна програма'!F$57:F$58)+SUMIF('9.Инвестиционна програма'!$B$60:$B$67,$B40,'9.Инвестиционна програма'!F$60:F$67))*$E$5</f>
        <v>0</v>
      </c>
      <c r="AB40" s="927">
        <f>(SUMIF('9.Инвестиционна програма'!$B$57:$B$58,$B40,'9.Инвестиционна програма'!G$57:G$58)+SUMIF('9.Инвестиционна програма'!$B$60:$B$67,$B40,'9.Инвестиционна програма'!G$60:G$67))*$E$5</f>
        <v>0</v>
      </c>
      <c r="AC40" s="927">
        <f>(SUMIF('9.Инвестиционна програма'!$B$57:$B$58,$B40,'9.Инвестиционна програма'!H$57:H$58)+SUMIF('9.Инвестиционна програма'!$B$60:$B$67,$B40,'9.Инвестиционна програма'!H$60:H$67))*$E$5</f>
        <v>0</v>
      </c>
      <c r="AD40" s="927">
        <f>(SUMIF('9.Инвестиционна програма'!$B$57:$B$58,$B40,'9.Инвестиционна програма'!I$57:I$58)+SUMIF('9.Инвестиционна програма'!$B$60:$B$67,$B40,'9.Инвестиционна програма'!I$60:I$67))*$E$5</f>
        <v>0</v>
      </c>
      <c r="AE40" s="927">
        <f>(SUMIF('9.Инвестиционна програма'!$B$57:$B$58,$B40,'9.Инвестиционна програма'!J$57:J$58)+SUMIF('9.Инвестиционна програма'!$B$60:$B$67,$B40,'9.Инвестиционна програма'!J$60:J$67))*$E$5</f>
        <v>0</v>
      </c>
      <c r="AF40" s="933">
        <f>(SUMIF('9.Инвестиционна програма'!$B$57:$B$58,$B40,'9.Инвестиционна програма'!K$57:K$58)+SUMIF('9.Инвестиционна програма'!$B$60:$B$67,$B40,'9.Инвестиционна програма'!K$60:K$67))*$E$5</f>
        <v>0</v>
      </c>
      <c r="AH40" s="566"/>
    </row>
    <row r="41" spans="1:34">
      <c r="A41" s="278"/>
      <c r="B41" s="1632">
        <v>2040208</v>
      </c>
      <c r="C41" s="1633">
        <v>0.04</v>
      </c>
      <c r="D41" s="1814" t="s">
        <v>595</v>
      </c>
      <c r="E41" s="925">
        <f>'11.2. Нови активи отч.год.'!E42</f>
        <v>16</v>
      </c>
      <c r="F41" s="881">
        <f>SUMIF('9.Инвестиционна програма'!$B$11:$B$34,$B41,'9.Инвестиционна програма'!F$11:F$34)*$E$5</f>
        <v>0</v>
      </c>
      <c r="G41" s="882">
        <f>SUMIF('9.Инвестиционна програма'!$B$11:$B$34,$B41,'9.Инвестиционна програма'!G$11:G$34)*$E$5</f>
        <v>0</v>
      </c>
      <c r="H41" s="882">
        <f>SUMIF('9.Инвестиционна програма'!$B$11:$B$34,$B41,'9.Инвестиционна програма'!H$11:H$34)*$E$5</f>
        <v>0</v>
      </c>
      <c r="I41" s="882">
        <f>SUMIF('9.Инвестиционна програма'!$B$11:$B$34,$B41,'9.Инвестиционна програма'!I$11:I$34)*$E$5</f>
        <v>0</v>
      </c>
      <c r="J41" s="882">
        <f>SUMIF('9.Инвестиционна програма'!$B$11:$B$34,$B41,'9.Инвестиционна програма'!J$11:J$34)*$E$5</f>
        <v>0</v>
      </c>
      <c r="K41" s="883">
        <f>SUMIF('9.Инвестиционна програма'!$B$11:$B$34,$B41,'9.Инвестиционна програма'!K$11:K$34)*$E$5</f>
        <v>0</v>
      </c>
      <c r="L41" s="1487">
        <f>'11.2. Нови активи отч.год.'!L42</f>
        <v>0</v>
      </c>
      <c r="M41" s="930">
        <f>SUMIF('9.Инвестиционна програма'!$B$36:$B$46,$B41,'9.Инвестиционна програма'!F$36:F$46)*$E$5</f>
        <v>0</v>
      </c>
      <c r="N41" s="931">
        <f>SUMIF('9.Инвестиционна програма'!$B$36:$B$46,$B41,'9.Инвестиционна програма'!G$36:G$46)*$E$5</f>
        <v>0</v>
      </c>
      <c r="O41" s="931">
        <f>SUMIF('9.Инвестиционна програма'!$B$36:$B$46,$B41,'9.Инвестиционна програма'!H$36:H$46)*$E$5</f>
        <v>0</v>
      </c>
      <c r="P41" s="931">
        <f>SUMIF('9.Инвестиционна програма'!$B$36:$B$46,$B41,'9.Инвестиционна програма'!I$36:I$46)*$E$5</f>
        <v>0</v>
      </c>
      <c r="Q41" s="931">
        <f>SUMIF('9.Инвестиционна програма'!$B$36:$B$46,$B41,'9.Инвестиционна програма'!J$36:J$46)*$E$5</f>
        <v>0</v>
      </c>
      <c r="R41" s="932">
        <f>SUMIF('9.Инвестиционна програма'!$B$36:$B$46,$B41,'9.Инвестиционна програма'!K$36:K$46)*$E$5</f>
        <v>0</v>
      </c>
      <c r="S41" s="926">
        <f>'11.2. Нови активи отч.год.'!S42</f>
        <v>0</v>
      </c>
      <c r="T41" s="927">
        <f>SUMIF('9.Инвестиционна програма'!$B$48:$B$55,$B41,'9.Инвестиционна програма'!F$48:F$55)*$E$5</f>
        <v>0</v>
      </c>
      <c r="U41" s="927">
        <f>SUMIF('9.Инвестиционна програма'!$B$48:$B$55,$B41,'9.Инвестиционна програма'!G$48:G$55)*$E$5</f>
        <v>0</v>
      </c>
      <c r="V41" s="927">
        <f>SUMIF('9.Инвестиционна програма'!$B$48:$B$55,$B41,'9.Инвестиционна програма'!H$48:H$55)*$E$5</f>
        <v>0</v>
      </c>
      <c r="W41" s="927">
        <f>SUMIF('9.Инвестиционна програма'!$B$48:$B$55,$B41,'9.Инвестиционна програма'!I$48:I$55)*$E$5</f>
        <v>0</v>
      </c>
      <c r="X41" s="927">
        <f>SUMIF('9.Инвестиционна програма'!$B$48:$B$55,$B41,'9.Инвестиционна програма'!J$48:J$55)*$E$5</f>
        <v>0</v>
      </c>
      <c r="Y41" s="927">
        <f>SUMIF('9.Инвестиционна програма'!$B$48:$B$55,$B41,'9.Инвестиционна програма'!K$48:K$55)*$E$5</f>
        <v>0</v>
      </c>
      <c r="Z41" s="926">
        <f>'11.2. Нови активи отч.год.'!Z42</f>
        <v>16</v>
      </c>
      <c r="AA41" s="930">
        <f>(SUMIF('9.Инвестиционна програма'!$B$57:$B$58,$B41,'9.Инвестиционна програма'!F$57:F$58)+SUMIF('9.Инвестиционна програма'!$B$60:$B$67,$B41,'9.Инвестиционна програма'!F$60:F$67))*$E$5</f>
        <v>0</v>
      </c>
      <c r="AB41" s="927">
        <f>(SUMIF('9.Инвестиционна програма'!$B$57:$B$58,$B41,'9.Инвестиционна програма'!G$57:G$58)+SUMIF('9.Инвестиционна програма'!$B$60:$B$67,$B41,'9.Инвестиционна програма'!G$60:G$67))*$E$5</f>
        <v>0</v>
      </c>
      <c r="AC41" s="927">
        <f>(SUMIF('9.Инвестиционна програма'!$B$57:$B$58,$B41,'9.Инвестиционна програма'!H$57:H$58)+SUMIF('9.Инвестиционна програма'!$B$60:$B$67,$B41,'9.Инвестиционна програма'!H$60:H$67))*$E$5</f>
        <v>0</v>
      </c>
      <c r="AD41" s="927">
        <f>(SUMIF('9.Инвестиционна програма'!$B$57:$B$58,$B41,'9.Инвестиционна програма'!I$57:I$58)+SUMIF('9.Инвестиционна програма'!$B$60:$B$67,$B41,'9.Инвестиционна програма'!I$60:I$67))*$E$5</f>
        <v>0</v>
      </c>
      <c r="AE41" s="927">
        <f>(SUMIF('9.Инвестиционна програма'!$B$57:$B$58,$B41,'9.Инвестиционна програма'!J$57:J$58)+SUMIF('9.Инвестиционна програма'!$B$60:$B$67,$B41,'9.Инвестиционна програма'!J$60:J$67))*$E$5</f>
        <v>0</v>
      </c>
      <c r="AF41" s="933">
        <f>(SUMIF('9.Инвестиционна програма'!$B$57:$B$58,$B41,'9.Инвестиционна програма'!K$57:K$58)+SUMIF('9.Инвестиционна програма'!$B$60:$B$67,$B41,'9.Инвестиционна програма'!K$60:K$67))*$E$5</f>
        <v>0</v>
      </c>
      <c r="AH41" s="566"/>
    </row>
    <row r="42" spans="1:34">
      <c r="A42" s="278"/>
      <c r="B42" s="1833">
        <v>20403</v>
      </c>
      <c r="C42" s="1834">
        <v>0.04</v>
      </c>
      <c r="D42" s="1822" t="s">
        <v>1524</v>
      </c>
      <c r="E42" s="925">
        <f>'11.2. Нови активи отч.год.'!E43</f>
        <v>72</v>
      </c>
      <c r="F42" s="881">
        <f>SUMIF('9.Инвестиционна програма'!$B$11:$B$34,$B42,'9.Инвестиционна програма'!F$11:F$34)*$E$5</f>
        <v>0</v>
      </c>
      <c r="G42" s="882">
        <f>SUMIF('9.Инвестиционна програма'!$B$11:$B$34,$B42,'9.Инвестиционна програма'!G$11:G$34)*$E$5</f>
        <v>0</v>
      </c>
      <c r="H42" s="882">
        <f>SUMIF('9.Инвестиционна програма'!$B$11:$B$34,$B42,'9.Инвестиционна програма'!H$11:H$34)*$E$5</f>
        <v>0</v>
      </c>
      <c r="I42" s="882">
        <f>SUMIF('9.Инвестиционна програма'!$B$11:$B$34,$B42,'9.Инвестиционна програма'!I$11:I$34)*$E$5</f>
        <v>0</v>
      </c>
      <c r="J42" s="882">
        <f>SUMIF('9.Инвестиционна програма'!$B$11:$B$34,$B42,'9.Инвестиционна програма'!J$11:J$34)*$E$5</f>
        <v>0</v>
      </c>
      <c r="K42" s="883">
        <f>SUMIF('9.Инвестиционна програма'!$B$11:$B$34,$B42,'9.Инвестиционна програма'!K$11:K$34)*$E$5</f>
        <v>0</v>
      </c>
      <c r="L42" s="1487">
        <f>'11.2. Нови активи отч.год.'!L43</f>
        <v>2</v>
      </c>
      <c r="M42" s="930">
        <f>SUMIF('9.Инвестиционна програма'!$B$36:$B$46,$B42,'9.Инвестиционна програма'!F$36:F$46)*$E$5</f>
        <v>0</v>
      </c>
      <c r="N42" s="931">
        <f>SUMIF('9.Инвестиционна програма'!$B$36:$B$46,$B42,'9.Инвестиционна програма'!G$36:G$46)*$E$5</f>
        <v>0</v>
      </c>
      <c r="O42" s="931">
        <f>SUMIF('9.Инвестиционна програма'!$B$36:$B$46,$B42,'9.Инвестиционна програма'!H$36:H$46)*$E$5</f>
        <v>0</v>
      </c>
      <c r="P42" s="931">
        <f>SUMIF('9.Инвестиционна програма'!$B$36:$B$46,$B42,'9.Инвестиционна програма'!I$36:I$46)*$E$5</f>
        <v>0</v>
      </c>
      <c r="Q42" s="931">
        <f>SUMIF('9.Инвестиционна програма'!$B$36:$B$46,$B42,'9.Инвестиционна програма'!J$36:J$46)*$E$5</f>
        <v>0</v>
      </c>
      <c r="R42" s="932">
        <f>SUMIF('9.Инвестиционна програма'!$B$36:$B$46,$B42,'9.Инвестиционна програма'!K$36:K$46)*$E$5</f>
        <v>0</v>
      </c>
      <c r="S42" s="926">
        <f>'11.2. Нови активи отч.год.'!S43</f>
        <v>3</v>
      </c>
      <c r="T42" s="927">
        <f>SUMIF('9.Инвестиционна програма'!$B$48:$B$55,$B42,'9.Инвестиционна програма'!F$48:F$55)*$E$5</f>
        <v>0</v>
      </c>
      <c r="U42" s="927">
        <f>SUMIF('9.Инвестиционна програма'!$B$48:$B$55,$B42,'9.Инвестиционна програма'!G$48:G$55)*$E$5</f>
        <v>0</v>
      </c>
      <c r="V42" s="927">
        <f>SUMIF('9.Инвестиционна програма'!$B$48:$B$55,$B42,'9.Инвестиционна програма'!H$48:H$55)*$E$5</f>
        <v>0</v>
      </c>
      <c r="W42" s="927">
        <f>SUMIF('9.Инвестиционна програма'!$B$48:$B$55,$B42,'9.Инвестиционна програма'!I$48:I$55)*$E$5</f>
        <v>0</v>
      </c>
      <c r="X42" s="927">
        <f>SUMIF('9.Инвестиционна програма'!$B$48:$B$55,$B42,'9.Инвестиционна програма'!J$48:J$55)*$E$5</f>
        <v>0</v>
      </c>
      <c r="Y42" s="927">
        <f>SUMIF('9.Инвестиционна програма'!$B$48:$B$55,$B42,'9.Инвестиционна програма'!K$48:K$55)*$E$5</f>
        <v>0</v>
      </c>
      <c r="Z42" s="926">
        <f>'11.2. Нови активи отч.год.'!Z43</f>
        <v>77</v>
      </c>
      <c r="AA42" s="930">
        <f>(SUMIF('9.Инвестиционна програма'!$B$57:$B$58,$B42,'9.Инвестиционна програма'!F$57:F$58)+SUMIF('9.Инвестиционна програма'!$B$60:$B$67,$B42,'9.Инвестиционна програма'!F$60:F$67))*$E$5</f>
        <v>0</v>
      </c>
      <c r="AB42" s="927">
        <f>(SUMIF('9.Инвестиционна програма'!$B$57:$B$58,$B42,'9.Инвестиционна програма'!G$57:G$58)+SUMIF('9.Инвестиционна програма'!$B$60:$B$67,$B42,'9.Инвестиционна програма'!G$60:G$67))*$E$5</f>
        <v>0</v>
      </c>
      <c r="AC42" s="927">
        <f>(SUMIF('9.Инвестиционна програма'!$B$57:$B$58,$B42,'9.Инвестиционна програма'!H$57:H$58)+SUMIF('9.Инвестиционна програма'!$B$60:$B$67,$B42,'9.Инвестиционна програма'!H$60:H$67))*$E$5</f>
        <v>0</v>
      </c>
      <c r="AD42" s="927">
        <f>(SUMIF('9.Инвестиционна програма'!$B$57:$B$58,$B42,'9.Инвестиционна програма'!I$57:I$58)+SUMIF('9.Инвестиционна програма'!$B$60:$B$67,$B42,'9.Инвестиционна програма'!I$60:I$67))*$E$5</f>
        <v>0</v>
      </c>
      <c r="AE42" s="927">
        <f>(SUMIF('9.Инвестиционна програма'!$B$57:$B$58,$B42,'9.Инвестиционна програма'!J$57:J$58)+SUMIF('9.Инвестиционна програма'!$B$60:$B$67,$B42,'9.Инвестиционна програма'!J$60:J$67))*$E$5</f>
        <v>0</v>
      </c>
      <c r="AF42" s="933">
        <f>(SUMIF('9.Инвестиционна програма'!$B$57:$B$58,$B42,'9.Инвестиционна програма'!K$57:K$58)+SUMIF('9.Инвестиционна програма'!$B$60:$B$67,$B42,'9.Инвестиционна програма'!K$60:K$67))*$E$5</f>
        <v>0</v>
      </c>
      <c r="AH42" s="566"/>
    </row>
    <row r="43" spans="1:34" ht="25.5">
      <c r="A43" s="278"/>
      <c r="B43" s="1833" t="s">
        <v>1525</v>
      </c>
      <c r="C43" s="1834">
        <v>0.04</v>
      </c>
      <c r="D43" s="1822" t="s">
        <v>1526</v>
      </c>
      <c r="E43" s="925">
        <f>'11.2. Нови активи отч.год.'!E44</f>
        <v>0</v>
      </c>
      <c r="F43" s="881">
        <f>SUMIF('9.Инвестиционна програма'!$B$11:$B$34,$B43,'9.Инвестиционна програма'!F$11:F$34)*$E$5</f>
        <v>0</v>
      </c>
      <c r="G43" s="882">
        <f>SUMIF('9.Инвестиционна програма'!$B$11:$B$34,$B43,'9.Инвестиционна програма'!G$11:G$34)*$E$5</f>
        <v>0</v>
      </c>
      <c r="H43" s="882">
        <f>SUMIF('9.Инвестиционна програма'!$B$11:$B$34,$B43,'9.Инвестиционна програма'!H$11:H$34)*$E$5</f>
        <v>0</v>
      </c>
      <c r="I43" s="882">
        <f>SUMIF('9.Инвестиционна програма'!$B$11:$B$34,$B43,'9.Инвестиционна програма'!I$11:I$34)*$E$5</f>
        <v>0</v>
      </c>
      <c r="J43" s="882">
        <f>SUMIF('9.Инвестиционна програма'!$B$11:$B$34,$B43,'9.Инвестиционна програма'!J$11:J$34)*$E$5</f>
        <v>0</v>
      </c>
      <c r="K43" s="883">
        <f>SUMIF('9.Инвестиционна програма'!$B$11:$B$34,$B43,'9.Инвестиционна програма'!K$11:K$34)*$E$5</f>
        <v>0</v>
      </c>
      <c r="L43" s="1487">
        <f>'11.2. Нови активи отч.год.'!L44</f>
        <v>0</v>
      </c>
      <c r="M43" s="930">
        <f>SUMIF('9.Инвестиционна програма'!$B$36:$B$46,$B43,'9.Инвестиционна програма'!F$36:F$46)*$E$5</f>
        <v>0</v>
      </c>
      <c r="N43" s="931">
        <f>SUMIF('9.Инвестиционна програма'!$B$36:$B$46,$B43,'9.Инвестиционна програма'!G$36:G$46)*$E$5</f>
        <v>0</v>
      </c>
      <c r="O43" s="931">
        <f>SUMIF('9.Инвестиционна програма'!$B$36:$B$46,$B43,'9.Инвестиционна програма'!H$36:H$46)*$E$5</f>
        <v>0</v>
      </c>
      <c r="P43" s="931">
        <f>SUMIF('9.Инвестиционна програма'!$B$36:$B$46,$B43,'9.Инвестиционна програма'!I$36:I$46)*$E$5</f>
        <v>0</v>
      </c>
      <c r="Q43" s="931">
        <f>SUMIF('9.Инвестиционна програма'!$B$36:$B$46,$B43,'9.Инвестиционна програма'!J$36:J$46)*$E$5</f>
        <v>0</v>
      </c>
      <c r="R43" s="932">
        <f>SUMIF('9.Инвестиционна програма'!$B$36:$B$46,$B43,'9.Инвестиционна програма'!K$36:K$46)*$E$5</f>
        <v>0</v>
      </c>
      <c r="S43" s="926">
        <f>'11.2. Нови активи отч.год.'!S44</f>
        <v>0</v>
      </c>
      <c r="T43" s="927">
        <f>SUMIF('9.Инвестиционна програма'!$B$48:$B$55,$B43,'9.Инвестиционна програма'!F$48:F$55)*$E$5</f>
        <v>0</v>
      </c>
      <c r="U43" s="927">
        <f>SUMIF('9.Инвестиционна програма'!$B$48:$B$55,$B43,'9.Инвестиционна програма'!G$48:G$55)*$E$5</f>
        <v>0</v>
      </c>
      <c r="V43" s="927">
        <f>SUMIF('9.Инвестиционна програма'!$B$48:$B$55,$B43,'9.Инвестиционна програма'!H$48:H$55)*$E$5</f>
        <v>0</v>
      </c>
      <c r="W43" s="927">
        <f>SUMIF('9.Инвестиционна програма'!$B$48:$B$55,$B43,'9.Инвестиционна програма'!I$48:I$55)*$E$5</f>
        <v>0</v>
      </c>
      <c r="X43" s="927">
        <f>SUMIF('9.Инвестиционна програма'!$B$48:$B$55,$B43,'9.Инвестиционна програма'!J$48:J$55)*$E$5</f>
        <v>0</v>
      </c>
      <c r="Y43" s="927">
        <f>SUMIF('9.Инвестиционна програма'!$B$48:$B$55,$B43,'9.Инвестиционна програма'!K$48:K$55)*$E$5</f>
        <v>0</v>
      </c>
      <c r="Z43" s="926">
        <f>'11.2. Нови активи отч.год.'!Z44</f>
        <v>0</v>
      </c>
      <c r="AA43" s="930">
        <f>(SUMIF('9.Инвестиционна програма'!$B$57:$B$58,$B43,'9.Инвестиционна програма'!F$57:F$58)+SUMIF('9.Инвестиционна програма'!$B$60:$B$67,$B43,'9.Инвестиционна програма'!F$60:F$67))*$E$5</f>
        <v>0</v>
      </c>
      <c r="AB43" s="927">
        <f>(SUMIF('9.Инвестиционна програма'!$B$57:$B$58,$B43,'9.Инвестиционна програма'!G$57:G$58)+SUMIF('9.Инвестиционна програма'!$B$60:$B$67,$B43,'9.Инвестиционна програма'!G$60:G$67))*$E$5</f>
        <v>0</v>
      </c>
      <c r="AC43" s="927">
        <f>(SUMIF('9.Инвестиционна програма'!$B$57:$B$58,$B43,'9.Инвестиционна програма'!H$57:H$58)+SUMIF('9.Инвестиционна програма'!$B$60:$B$67,$B43,'9.Инвестиционна програма'!H$60:H$67))*$E$5</f>
        <v>0</v>
      </c>
      <c r="AD43" s="927">
        <f>(SUMIF('9.Инвестиционна програма'!$B$57:$B$58,$B43,'9.Инвестиционна програма'!I$57:I$58)+SUMIF('9.Инвестиционна програма'!$B$60:$B$67,$B43,'9.Инвестиционна програма'!I$60:I$67))*$E$5</f>
        <v>0</v>
      </c>
      <c r="AE43" s="927">
        <f>(SUMIF('9.Инвестиционна програма'!$B$57:$B$58,$B43,'9.Инвестиционна програма'!J$57:J$58)+SUMIF('9.Инвестиционна програма'!$B$60:$B$67,$B43,'9.Инвестиционна програма'!J$60:J$67))*$E$5</f>
        <v>0</v>
      </c>
      <c r="AF43" s="933">
        <f>(SUMIF('9.Инвестиционна програма'!$B$57:$B$58,$B43,'9.Инвестиционна програма'!K$57:K$58)+SUMIF('9.Инвестиционна програма'!$B$60:$B$67,$B43,'9.Инвестиционна програма'!K$60:K$67))*$E$5</f>
        <v>0</v>
      </c>
      <c r="AH43" s="566"/>
    </row>
    <row r="44" spans="1:34">
      <c r="A44" s="934">
        <v>5</v>
      </c>
      <c r="B44" s="1808">
        <v>205</v>
      </c>
      <c r="C44" s="1808"/>
      <c r="D44" s="1811" t="s">
        <v>275</v>
      </c>
      <c r="E44" s="950">
        <f>SUM(E45:E48)</f>
        <v>98</v>
      </c>
      <c r="F44" s="951">
        <f>SUM(F45:F48)</f>
        <v>350</v>
      </c>
      <c r="G44" s="890">
        <f>SUM(G45:G48)</f>
        <v>150</v>
      </c>
      <c r="H44" s="890">
        <f t="shared" ref="H44:K44" si="13">SUM(H45:H48)</f>
        <v>150</v>
      </c>
      <c r="I44" s="890">
        <f t="shared" si="13"/>
        <v>140</v>
      </c>
      <c r="J44" s="890">
        <f t="shared" si="13"/>
        <v>80</v>
      </c>
      <c r="K44" s="891">
        <f t="shared" si="13"/>
        <v>90</v>
      </c>
      <c r="L44" s="2064">
        <f>SUM(L45:L48)</f>
        <v>2</v>
      </c>
      <c r="M44" s="885">
        <f>SUM(M45:M48)</f>
        <v>0</v>
      </c>
      <c r="N44" s="886">
        <f>SUM(N45:N48)</f>
        <v>1450</v>
      </c>
      <c r="O44" s="886">
        <f t="shared" ref="O44:R44" si="14">SUM(O45:O48)</f>
        <v>0</v>
      </c>
      <c r="P44" s="886">
        <f t="shared" si="14"/>
        <v>0</v>
      </c>
      <c r="Q44" s="886">
        <f t="shared" si="14"/>
        <v>0</v>
      </c>
      <c r="R44" s="887">
        <f t="shared" si="14"/>
        <v>0</v>
      </c>
      <c r="S44" s="952">
        <f>SUM(S45:S48)</f>
        <v>22</v>
      </c>
      <c r="T44" s="889">
        <f>SUM(T45:T48)</f>
        <v>0</v>
      </c>
      <c r="U44" s="890">
        <f>SUM(U45:U48)</f>
        <v>0</v>
      </c>
      <c r="V44" s="890">
        <f t="shared" ref="V44:Y44" si="15">SUM(V45:V48)</f>
        <v>250</v>
      </c>
      <c r="W44" s="890">
        <f t="shared" si="15"/>
        <v>0</v>
      </c>
      <c r="X44" s="890">
        <f t="shared" si="15"/>
        <v>0</v>
      </c>
      <c r="Y44" s="891">
        <f t="shared" si="15"/>
        <v>0</v>
      </c>
      <c r="Z44" s="952">
        <f>SUM(Z45:Z48)</f>
        <v>122</v>
      </c>
      <c r="AA44" s="888">
        <f>SUM(AA45:AA48)</f>
        <v>0</v>
      </c>
      <c r="AB44" s="886">
        <f>SUM(AB45:AB48)</f>
        <v>0</v>
      </c>
      <c r="AC44" s="886">
        <f t="shared" ref="AC44:AF44" si="16">SUM(AC45:AC48)</f>
        <v>0</v>
      </c>
      <c r="AD44" s="886">
        <f t="shared" si="16"/>
        <v>0</v>
      </c>
      <c r="AE44" s="886">
        <f t="shared" si="16"/>
        <v>0</v>
      </c>
      <c r="AF44" s="887">
        <f t="shared" si="16"/>
        <v>0</v>
      </c>
      <c r="AH44" s="566"/>
    </row>
    <row r="45" spans="1:34">
      <c r="A45" s="892"/>
      <c r="B45" s="1635">
        <v>20501</v>
      </c>
      <c r="C45" s="1634">
        <v>0.08</v>
      </c>
      <c r="D45" s="1629" t="s">
        <v>765</v>
      </c>
      <c r="E45" s="925">
        <f>'11.2. Нови активи отч.год.'!E46</f>
        <v>0</v>
      </c>
      <c r="F45" s="881">
        <f>SUMIF('9.Инвестиционна програма'!$B$11:$B$34,$B45,'9.Инвестиционна програма'!F$11:F$34)*$E$5</f>
        <v>246</v>
      </c>
      <c r="G45" s="882">
        <f>SUMIF('9.Инвестиционна програма'!$B$11:$B$34,$B45,'9.Инвестиционна програма'!G$11:G$34)*$E$5</f>
        <v>100</v>
      </c>
      <c r="H45" s="882">
        <f>SUMIF('9.Инвестиционна програма'!$B$11:$B$34,$B45,'9.Инвестиционна програма'!H$11:H$34)*$E$5</f>
        <v>80</v>
      </c>
      <c r="I45" s="882">
        <f>SUMIF('9.Инвестиционна програма'!$B$11:$B$34,$B45,'9.Инвестиционна програма'!I$11:I$34)*$E$5</f>
        <v>90</v>
      </c>
      <c r="J45" s="882">
        <f>SUMIF('9.Инвестиционна програма'!$B$11:$B$34,$B45,'9.Инвестиционна програма'!J$11:J$34)*$E$5</f>
        <v>50</v>
      </c>
      <c r="K45" s="883">
        <f>SUMIF('9.Инвестиционна програма'!$B$11:$B$34,$B45,'9.Инвестиционна програма'!K$11:K$34)*$E$5</f>
        <v>50</v>
      </c>
      <c r="L45" s="1487">
        <f>'11.2. Нови активи отч.год.'!L46</f>
        <v>0</v>
      </c>
      <c r="M45" s="930">
        <f>SUMIF('9.Инвестиционна програма'!$B$36:$B$46,$B45,'9.Инвестиционна програма'!F$36:F$46)*$E$5</f>
        <v>0</v>
      </c>
      <c r="N45" s="931">
        <f>SUMIF('9.Инвестиционна програма'!$B$36:$B$46,$B45,'9.Инвестиционна програма'!G$36:G$46)*$E$5</f>
        <v>250</v>
      </c>
      <c r="O45" s="931">
        <f>SUMIF('9.Инвестиционна програма'!$B$36:$B$46,$B45,'9.Инвестиционна програма'!H$36:H$46)*$E$5</f>
        <v>0</v>
      </c>
      <c r="P45" s="931">
        <f>SUMIF('9.Инвестиционна програма'!$B$36:$B$46,$B45,'9.Инвестиционна програма'!I$36:I$46)*$E$5</f>
        <v>0</v>
      </c>
      <c r="Q45" s="931">
        <f>SUMIF('9.Инвестиционна програма'!$B$36:$B$46,$B45,'9.Инвестиционна програма'!J$36:J$46)*$E$5</f>
        <v>0</v>
      </c>
      <c r="R45" s="932">
        <f>SUMIF('9.Инвестиционна програма'!$B$36:$B$46,$B45,'9.Инвестиционна програма'!K$36:K$46)*$E$5</f>
        <v>0</v>
      </c>
      <c r="S45" s="926">
        <f>'11.2. Нови активи отч.год.'!S46</f>
        <v>0</v>
      </c>
      <c r="T45" s="927">
        <f>SUMIF('9.Инвестиционна програма'!$B$48:$B$55,$B45,'9.Инвестиционна програма'!F$48:F$55)*$E$5</f>
        <v>0</v>
      </c>
      <c r="U45" s="927">
        <f>SUMIF('9.Инвестиционна програма'!$B$48:$B$55,$B45,'9.Инвестиционна програма'!G$48:G$55)*$E$5</f>
        <v>0</v>
      </c>
      <c r="V45" s="927">
        <f>SUMIF('9.Инвестиционна програма'!$B$48:$B$55,$B45,'9.Инвестиционна програма'!H$48:H$55)*$E$5</f>
        <v>250</v>
      </c>
      <c r="W45" s="927">
        <f>SUMIF('9.Инвестиционна програма'!$B$48:$B$55,$B45,'9.Инвестиционна програма'!I$48:I$55)*$E$5</f>
        <v>0</v>
      </c>
      <c r="X45" s="927">
        <f>SUMIF('9.Инвестиционна програма'!$B$48:$B$55,$B45,'9.Инвестиционна програма'!J$48:J$55)*$E$5</f>
        <v>0</v>
      </c>
      <c r="Y45" s="927">
        <f>SUMIF('9.Инвестиционна програма'!$B$48:$B$55,$B45,'9.Инвестиционна програма'!K$48:K$55)*$E$5</f>
        <v>0</v>
      </c>
      <c r="Z45" s="926">
        <f>'11.2. Нови активи отч.год.'!Z46</f>
        <v>0</v>
      </c>
      <c r="AA45" s="930">
        <f>(SUMIF('9.Инвестиционна програма'!$B$57:$B$58,$B45,'9.Инвестиционна програма'!F$57:F$58)+SUMIF('9.Инвестиционна програма'!$B$60:$B$67,$B45,'9.Инвестиционна програма'!F$60:F$67))*$E$5</f>
        <v>0</v>
      </c>
      <c r="AB45" s="927">
        <f>(SUMIF('9.Инвестиционна програма'!$B$57:$B$58,$B45,'9.Инвестиционна програма'!G$57:G$58)+SUMIF('9.Инвестиционна програма'!$B$60:$B$67,$B45,'9.Инвестиционна програма'!G$60:G$67))*$E$5</f>
        <v>0</v>
      </c>
      <c r="AC45" s="927">
        <f>(SUMIF('9.Инвестиционна програма'!$B$57:$B$58,$B45,'9.Инвестиционна програма'!H$57:H$58)+SUMIF('9.Инвестиционна програма'!$B$60:$B$67,$B45,'9.Инвестиционна програма'!H$60:H$67))*$E$5</f>
        <v>0</v>
      </c>
      <c r="AD45" s="927">
        <f>(SUMIF('9.Инвестиционна програма'!$B$57:$B$58,$B45,'9.Инвестиционна програма'!I$57:I$58)+SUMIF('9.Инвестиционна програма'!$B$60:$B$67,$B45,'9.Инвестиционна програма'!I$60:I$67))*$E$5</f>
        <v>0</v>
      </c>
      <c r="AE45" s="927">
        <f>(SUMIF('9.Инвестиционна програма'!$B$57:$B$58,$B45,'9.Инвестиционна програма'!J$57:J$58)+SUMIF('9.Инвестиционна програма'!$B$60:$B$67,$B45,'9.Инвестиционна програма'!J$60:J$67))*$E$5</f>
        <v>0</v>
      </c>
      <c r="AF45" s="933">
        <f>(SUMIF('9.Инвестиционна програма'!$B$57:$B$58,$B45,'9.Инвестиционна програма'!K$57:K$58)+SUMIF('9.Инвестиционна програма'!$B$60:$B$67,$B45,'9.Инвестиционна програма'!K$60:K$67))*$E$5</f>
        <v>0</v>
      </c>
      <c r="AG45" s="307"/>
      <c r="AH45" s="566"/>
    </row>
    <row r="46" spans="1:34">
      <c r="A46" s="892"/>
      <c r="B46" s="1635">
        <v>20502</v>
      </c>
      <c r="C46" s="1634">
        <v>0.1</v>
      </c>
      <c r="D46" s="1629" t="s">
        <v>583</v>
      </c>
      <c r="E46" s="925">
        <f>'11.2. Нови активи отч.год.'!E47</f>
        <v>96</v>
      </c>
      <c r="F46" s="881">
        <f>SUMIF('9.Инвестиционна програма'!$B$11:$B$34,$B46,'9.Инвестиционна програма'!F$11:F$34)*$E$5</f>
        <v>104</v>
      </c>
      <c r="G46" s="882">
        <f>SUMIF('9.Инвестиционна програма'!$B$11:$B$34,$B46,'9.Инвестиционна програма'!G$11:G$34)*$E$5</f>
        <v>50</v>
      </c>
      <c r="H46" s="882">
        <f>SUMIF('9.Инвестиционна програма'!$B$11:$B$34,$B46,'9.Инвестиционна програма'!H$11:H$34)*$E$5</f>
        <v>70</v>
      </c>
      <c r="I46" s="882">
        <f>SUMIF('9.Инвестиционна програма'!$B$11:$B$34,$B46,'9.Инвестиционна програма'!I$11:I$34)*$E$5</f>
        <v>50</v>
      </c>
      <c r="J46" s="882">
        <f>SUMIF('9.Инвестиционна програма'!$B$11:$B$34,$B46,'9.Инвестиционна програма'!J$11:J$34)*$E$5</f>
        <v>30</v>
      </c>
      <c r="K46" s="883">
        <f>SUMIF('9.Инвестиционна програма'!$B$11:$B$34,$B46,'9.Инвестиционна програма'!K$11:K$34)*$E$5</f>
        <v>40</v>
      </c>
      <c r="L46" s="1487">
        <f>'11.2. Нови активи отч.год.'!L47</f>
        <v>2</v>
      </c>
      <c r="M46" s="930">
        <f>SUMIF('9.Инвестиционна програма'!$B$36:$B$46,$B46,'9.Инвестиционна програма'!F$36:F$46)*$E$5</f>
        <v>0</v>
      </c>
      <c r="N46" s="931">
        <f>SUMIF('9.Инвестиционна програма'!$B$36:$B$46,$B46,'9.Инвестиционна програма'!G$36:G$46)*$E$5</f>
        <v>0</v>
      </c>
      <c r="O46" s="931">
        <f>SUMIF('9.Инвестиционна програма'!$B$36:$B$46,$B46,'9.Инвестиционна програма'!H$36:H$46)*$E$5</f>
        <v>0</v>
      </c>
      <c r="P46" s="931">
        <f>SUMIF('9.Инвестиционна програма'!$B$36:$B$46,$B46,'9.Инвестиционна програма'!I$36:I$46)*$E$5</f>
        <v>0</v>
      </c>
      <c r="Q46" s="931">
        <f>SUMIF('9.Инвестиционна програма'!$B$36:$B$46,$B46,'9.Инвестиционна програма'!J$36:J$46)*$E$5</f>
        <v>0</v>
      </c>
      <c r="R46" s="932">
        <f>SUMIF('9.Инвестиционна програма'!$B$36:$B$46,$B46,'9.Инвестиционна програма'!K$36:K$46)*$E$5</f>
        <v>0</v>
      </c>
      <c r="S46" s="926">
        <f>'11.2. Нови активи отч.год.'!S47</f>
        <v>22</v>
      </c>
      <c r="T46" s="927">
        <f>SUMIF('9.Инвестиционна програма'!$B$48:$B$55,$B46,'9.Инвестиционна програма'!F$48:F$55)*$E$5</f>
        <v>0</v>
      </c>
      <c r="U46" s="927">
        <f>SUMIF('9.Инвестиционна програма'!$B$48:$B$55,$B46,'9.Инвестиционна програма'!G$48:G$55)*$E$5</f>
        <v>0</v>
      </c>
      <c r="V46" s="927">
        <f>SUMIF('9.Инвестиционна програма'!$B$48:$B$55,$B46,'9.Инвестиционна програма'!H$48:H$55)*$E$5</f>
        <v>0</v>
      </c>
      <c r="W46" s="927">
        <f>SUMIF('9.Инвестиционна програма'!$B$48:$B$55,$B46,'9.Инвестиционна програма'!I$48:I$55)*$E$5</f>
        <v>0</v>
      </c>
      <c r="X46" s="927">
        <f>SUMIF('9.Инвестиционна програма'!$B$48:$B$55,$B46,'9.Инвестиционна програма'!J$48:J$55)*$E$5</f>
        <v>0</v>
      </c>
      <c r="Y46" s="927">
        <f>SUMIF('9.Инвестиционна програма'!$B$48:$B$55,$B46,'9.Инвестиционна програма'!K$48:K$55)*$E$5</f>
        <v>0</v>
      </c>
      <c r="Z46" s="926">
        <f>'11.2. Нови активи отч.год.'!Z47</f>
        <v>120</v>
      </c>
      <c r="AA46" s="930">
        <f>(SUMIF('9.Инвестиционна програма'!$B$57:$B$58,$B46,'9.Инвестиционна програма'!F$57:F$58)+SUMIF('9.Инвестиционна програма'!$B$60:$B$67,$B46,'9.Инвестиционна програма'!F$60:F$67))*$E$5</f>
        <v>0</v>
      </c>
      <c r="AB46" s="927">
        <f>(SUMIF('9.Инвестиционна програма'!$B$57:$B$58,$B46,'9.Инвестиционна програма'!G$57:G$58)+SUMIF('9.Инвестиционна програма'!$B$60:$B$67,$B46,'9.Инвестиционна програма'!G$60:G$67))*$E$5</f>
        <v>0</v>
      </c>
      <c r="AC46" s="927">
        <f>(SUMIF('9.Инвестиционна програма'!$B$57:$B$58,$B46,'9.Инвестиционна програма'!H$57:H$58)+SUMIF('9.Инвестиционна програма'!$B$60:$B$67,$B46,'9.Инвестиционна програма'!H$60:H$67))*$E$5</f>
        <v>0</v>
      </c>
      <c r="AD46" s="927">
        <f>(SUMIF('9.Инвестиционна програма'!$B$57:$B$58,$B46,'9.Инвестиционна програма'!I$57:I$58)+SUMIF('9.Инвестиционна програма'!$B$60:$B$67,$B46,'9.Инвестиционна програма'!I$60:I$67))*$E$5</f>
        <v>0</v>
      </c>
      <c r="AE46" s="927">
        <f>(SUMIF('9.Инвестиционна програма'!$B$57:$B$58,$B46,'9.Инвестиционна програма'!J$57:J$58)+SUMIF('9.Инвестиционна програма'!$B$60:$B$67,$B46,'9.Инвестиционна програма'!J$60:J$67))*$E$5</f>
        <v>0</v>
      </c>
      <c r="AF46" s="933">
        <f>(SUMIF('9.Инвестиционна програма'!$B$57:$B$58,$B46,'9.Инвестиционна програма'!K$57:K$58)+SUMIF('9.Инвестиционна програма'!$B$60:$B$67,$B46,'9.Инвестиционна програма'!K$60:K$67))*$E$5</f>
        <v>0</v>
      </c>
      <c r="AG46" s="307"/>
      <c r="AH46" s="566"/>
    </row>
    <row r="47" spans="1:34">
      <c r="A47" s="892"/>
      <c r="B47" s="1635">
        <v>20503</v>
      </c>
      <c r="C47" s="1634">
        <v>0.1</v>
      </c>
      <c r="D47" s="1626" t="s">
        <v>584</v>
      </c>
      <c r="E47" s="925">
        <f>'11.2. Нови активи отч.год.'!E48</f>
        <v>0</v>
      </c>
      <c r="F47" s="881">
        <f>SUMIF('9.Инвестиционна програма'!$B$11:$B$34,$B47,'9.Инвестиционна програма'!F$11:F$34)*$E$5</f>
        <v>0</v>
      </c>
      <c r="G47" s="882">
        <f>SUMIF('9.Инвестиционна програма'!$B$11:$B$34,$B47,'9.Инвестиционна програма'!G$11:G$34)*$E$5</f>
        <v>0</v>
      </c>
      <c r="H47" s="882">
        <f>SUMIF('9.Инвестиционна програма'!$B$11:$B$34,$B47,'9.Инвестиционна програма'!H$11:H$34)*$E$5</f>
        <v>0</v>
      </c>
      <c r="I47" s="882">
        <f>SUMIF('9.Инвестиционна програма'!$B$11:$B$34,$B47,'9.Инвестиционна програма'!I$11:I$34)*$E$5</f>
        <v>0</v>
      </c>
      <c r="J47" s="882">
        <f>SUMIF('9.Инвестиционна програма'!$B$11:$B$34,$B47,'9.Инвестиционна програма'!J$11:J$34)*$E$5</f>
        <v>0</v>
      </c>
      <c r="K47" s="883">
        <f>SUMIF('9.Инвестиционна програма'!$B$11:$B$34,$B47,'9.Инвестиционна програма'!K$11:K$34)*$E$5</f>
        <v>0</v>
      </c>
      <c r="L47" s="1487">
        <f>'11.2. Нови активи отч.год.'!L48</f>
        <v>0</v>
      </c>
      <c r="M47" s="930">
        <f>SUMIF('9.Инвестиционна програма'!$B$36:$B$46,$B47,'9.Инвестиционна програма'!F$36:F$46)*$E$5</f>
        <v>0</v>
      </c>
      <c r="N47" s="931">
        <f>SUMIF('9.Инвестиционна програма'!$B$36:$B$46,$B47,'9.Инвестиционна програма'!G$36:G$46)*$E$5</f>
        <v>1200</v>
      </c>
      <c r="O47" s="931">
        <f>SUMIF('9.Инвестиционна програма'!$B$36:$B$46,$B47,'9.Инвестиционна програма'!H$36:H$46)*$E$5</f>
        <v>0</v>
      </c>
      <c r="P47" s="931">
        <f>SUMIF('9.Инвестиционна програма'!$B$36:$B$46,$B47,'9.Инвестиционна програма'!I$36:I$46)*$E$5</f>
        <v>0</v>
      </c>
      <c r="Q47" s="931">
        <f>SUMIF('9.Инвестиционна програма'!$B$36:$B$46,$B47,'9.Инвестиционна програма'!J$36:J$46)*$E$5</f>
        <v>0</v>
      </c>
      <c r="R47" s="932">
        <f>SUMIF('9.Инвестиционна програма'!$B$36:$B$46,$B47,'9.Инвестиционна програма'!K$36:K$46)*$E$5</f>
        <v>0</v>
      </c>
      <c r="S47" s="926">
        <f>'11.2. Нови активи отч.год.'!S48</f>
        <v>0</v>
      </c>
      <c r="T47" s="927">
        <f>SUMIF('9.Инвестиционна програма'!$B$48:$B$55,$B47,'9.Инвестиционна програма'!F$48:F$55)*$E$5</f>
        <v>0</v>
      </c>
      <c r="U47" s="927">
        <f>SUMIF('9.Инвестиционна програма'!$B$48:$B$55,$B47,'9.Инвестиционна програма'!G$48:G$55)*$E$5</f>
        <v>0</v>
      </c>
      <c r="V47" s="927">
        <f>SUMIF('9.Инвестиционна програма'!$B$48:$B$55,$B47,'9.Инвестиционна програма'!H$48:H$55)*$E$5</f>
        <v>0</v>
      </c>
      <c r="W47" s="927">
        <f>SUMIF('9.Инвестиционна програма'!$B$48:$B$55,$B47,'9.Инвестиционна програма'!I$48:I$55)*$E$5</f>
        <v>0</v>
      </c>
      <c r="X47" s="927">
        <f>SUMIF('9.Инвестиционна програма'!$B$48:$B$55,$B47,'9.Инвестиционна програма'!J$48:J$55)*$E$5</f>
        <v>0</v>
      </c>
      <c r="Y47" s="927">
        <f>SUMIF('9.Инвестиционна програма'!$B$48:$B$55,$B47,'9.Инвестиционна програма'!K$48:K$55)*$E$5</f>
        <v>0</v>
      </c>
      <c r="Z47" s="926">
        <f>'11.2. Нови активи отч.год.'!Z48</f>
        <v>0</v>
      </c>
      <c r="AA47" s="930">
        <f>(SUMIF('9.Инвестиционна програма'!$B$57:$B$58,$B47,'9.Инвестиционна програма'!F$57:F$58)+SUMIF('9.Инвестиционна програма'!$B$60:$B$67,$B47,'9.Инвестиционна програма'!F$60:F$67))*$E$5</f>
        <v>0</v>
      </c>
      <c r="AB47" s="927">
        <f>(SUMIF('9.Инвестиционна програма'!$B$57:$B$58,$B47,'9.Инвестиционна програма'!G$57:G$58)+SUMIF('9.Инвестиционна програма'!$B$60:$B$67,$B47,'9.Инвестиционна програма'!G$60:G$67))*$E$5</f>
        <v>0</v>
      </c>
      <c r="AC47" s="927">
        <f>(SUMIF('9.Инвестиционна програма'!$B$57:$B$58,$B47,'9.Инвестиционна програма'!H$57:H$58)+SUMIF('9.Инвестиционна програма'!$B$60:$B$67,$B47,'9.Инвестиционна програма'!H$60:H$67))*$E$5</f>
        <v>0</v>
      </c>
      <c r="AD47" s="927">
        <f>(SUMIF('9.Инвестиционна програма'!$B$57:$B$58,$B47,'9.Инвестиционна програма'!I$57:I$58)+SUMIF('9.Инвестиционна програма'!$B$60:$B$67,$B47,'9.Инвестиционна програма'!I$60:I$67))*$E$5</f>
        <v>0</v>
      </c>
      <c r="AE47" s="927">
        <f>(SUMIF('9.Инвестиционна програма'!$B$57:$B$58,$B47,'9.Инвестиционна програма'!J$57:J$58)+SUMIF('9.Инвестиционна програма'!$B$60:$B$67,$B47,'9.Инвестиционна програма'!J$60:J$67))*$E$5</f>
        <v>0</v>
      </c>
      <c r="AF47" s="933">
        <f>(SUMIF('9.Инвестиционна програма'!$B$57:$B$58,$B47,'9.Инвестиционна програма'!K$57:K$58)+SUMIF('9.Инвестиционна програма'!$B$60:$B$67,$B47,'9.Инвестиционна програма'!K$60:K$67))*$E$5</f>
        <v>0</v>
      </c>
      <c r="AG47" s="307"/>
      <c r="AH47" s="566"/>
    </row>
    <row r="48" spans="1:34">
      <c r="A48" s="892"/>
      <c r="B48" s="1635">
        <v>20504</v>
      </c>
      <c r="C48" s="1634">
        <v>0.1</v>
      </c>
      <c r="D48" s="1626" t="s">
        <v>759</v>
      </c>
      <c r="E48" s="925">
        <f>'11.2. Нови активи отч.год.'!E49</f>
        <v>2</v>
      </c>
      <c r="F48" s="881">
        <f>SUMIF('9.Инвестиционна програма'!$B$11:$B$34,$B48,'9.Инвестиционна програма'!F$11:F$34)*$E$5</f>
        <v>0</v>
      </c>
      <c r="G48" s="882">
        <f>SUMIF('9.Инвестиционна програма'!$B$11:$B$34,$B48,'9.Инвестиционна програма'!G$11:G$34)*$E$5</f>
        <v>0</v>
      </c>
      <c r="H48" s="882">
        <f>SUMIF('9.Инвестиционна програма'!$B$11:$B$34,$B48,'9.Инвестиционна програма'!H$11:H$34)*$E$5</f>
        <v>0</v>
      </c>
      <c r="I48" s="882">
        <f>SUMIF('9.Инвестиционна програма'!$B$11:$B$34,$B48,'9.Инвестиционна програма'!I$11:I$34)*$E$5</f>
        <v>0</v>
      </c>
      <c r="J48" s="882">
        <f>SUMIF('9.Инвестиционна програма'!$B$11:$B$34,$B48,'9.Инвестиционна програма'!J$11:J$34)*$E$5</f>
        <v>0</v>
      </c>
      <c r="K48" s="883">
        <f>SUMIF('9.Инвестиционна програма'!$B$11:$B$34,$B48,'9.Инвестиционна програма'!K$11:K$34)*$E$5</f>
        <v>0</v>
      </c>
      <c r="L48" s="1487">
        <f>'11.2. Нови активи отч.год.'!L49</f>
        <v>0</v>
      </c>
      <c r="M48" s="930">
        <f>SUMIF('9.Инвестиционна програма'!$B$36:$B$46,$B48,'9.Инвестиционна програма'!F$36:F$46)*$E$5</f>
        <v>0</v>
      </c>
      <c r="N48" s="931">
        <f>SUMIF('9.Инвестиционна програма'!$B$36:$B$46,$B48,'9.Инвестиционна програма'!G$36:G$46)*$E$5</f>
        <v>0</v>
      </c>
      <c r="O48" s="931">
        <f>SUMIF('9.Инвестиционна програма'!$B$36:$B$46,$B48,'9.Инвестиционна програма'!H$36:H$46)*$E$5</f>
        <v>0</v>
      </c>
      <c r="P48" s="931">
        <f>SUMIF('9.Инвестиционна програма'!$B$36:$B$46,$B48,'9.Инвестиционна програма'!I$36:I$46)*$E$5</f>
        <v>0</v>
      </c>
      <c r="Q48" s="931">
        <f>SUMIF('9.Инвестиционна програма'!$B$36:$B$46,$B48,'9.Инвестиционна програма'!J$36:J$46)*$E$5</f>
        <v>0</v>
      </c>
      <c r="R48" s="932">
        <f>SUMIF('9.Инвестиционна програма'!$B$36:$B$46,$B48,'9.Инвестиционна програма'!K$36:K$46)*$E$5</f>
        <v>0</v>
      </c>
      <c r="S48" s="926">
        <f>'11.2. Нови активи отч.год.'!S49</f>
        <v>0</v>
      </c>
      <c r="T48" s="927">
        <f>SUMIF('9.Инвестиционна програма'!$B$48:$B$55,$B48,'9.Инвестиционна програма'!F$48:F$55)*$E$5</f>
        <v>0</v>
      </c>
      <c r="U48" s="927">
        <f>SUMIF('9.Инвестиционна програма'!$B$48:$B$55,$B48,'9.Инвестиционна програма'!G$48:G$55)*$E$5</f>
        <v>0</v>
      </c>
      <c r="V48" s="927">
        <f>SUMIF('9.Инвестиционна програма'!$B$48:$B$55,$B48,'9.Инвестиционна програма'!H$48:H$55)*$E$5</f>
        <v>0</v>
      </c>
      <c r="W48" s="927">
        <f>SUMIF('9.Инвестиционна програма'!$B$48:$B$55,$B48,'9.Инвестиционна програма'!I$48:I$55)*$E$5</f>
        <v>0</v>
      </c>
      <c r="X48" s="927">
        <f>SUMIF('9.Инвестиционна програма'!$B$48:$B$55,$B48,'9.Инвестиционна програма'!J$48:J$55)*$E$5</f>
        <v>0</v>
      </c>
      <c r="Y48" s="927">
        <f>SUMIF('9.Инвестиционна програма'!$B$48:$B$55,$B48,'9.Инвестиционна програма'!K$48:K$55)*$E$5</f>
        <v>0</v>
      </c>
      <c r="Z48" s="926">
        <f>'11.2. Нови активи отч.год.'!Z49</f>
        <v>2</v>
      </c>
      <c r="AA48" s="930">
        <f>(SUMIF('9.Инвестиционна програма'!$B$57:$B$58,$B48,'9.Инвестиционна програма'!F$57:F$58)+SUMIF('9.Инвестиционна програма'!$B$60:$B$67,$B48,'9.Инвестиционна програма'!F$60:F$67))*$E$5</f>
        <v>0</v>
      </c>
      <c r="AB48" s="927">
        <f>(SUMIF('9.Инвестиционна програма'!$B$57:$B$58,$B48,'9.Инвестиционна програма'!G$57:G$58)+SUMIF('9.Инвестиционна програма'!$B$60:$B$67,$B48,'9.Инвестиционна програма'!G$60:G$67))*$E$5</f>
        <v>0</v>
      </c>
      <c r="AC48" s="927">
        <f>(SUMIF('9.Инвестиционна програма'!$B$57:$B$58,$B48,'9.Инвестиционна програма'!H$57:H$58)+SUMIF('9.Инвестиционна програма'!$B$60:$B$67,$B48,'9.Инвестиционна програма'!H$60:H$67))*$E$5</f>
        <v>0</v>
      </c>
      <c r="AD48" s="927">
        <f>(SUMIF('9.Инвестиционна програма'!$B$57:$B$58,$B48,'9.Инвестиционна програма'!I$57:I$58)+SUMIF('9.Инвестиционна програма'!$B$60:$B$67,$B48,'9.Инвестиционна програма'!I$60:I$67))*$E$5</f>
        <v>0</v>
      </c>
      <c r="AE48" s="927">
        <f>(SUMIF('9.Инвестиционна програма'!$B$57:$B$58,$B48,'9.Инвестиционна програма'!J$57:J$58)+SUMIF('9.Инвестиционна програма'!$B$60:$B$67,$B48,'9.Инвестиционна програма'!J$60:J$67))*$E$5</f>
        <v>0</v>
      </c>
      <c r="AF48" s="933">
        <f>(SUMIF('9.Инвестиционна програма'!$B$57:$B$58,$B48,'9.Инвестиционна програма'!K$57:K$58)+SUMIF('9.Инвестиционна програма'!$B$60:$B$67,$B48,'9.Инвестиционна програма'!K$60:K$67))*$E$5</f>
        <v>0</v>
      </c>
      <c r="AG48" s="307"/>
      <c r="AH48" s="566"/>
    </row>
    <row r="49" spans="1:34">
      <c r="A49" s="937">
        <v>6</v>
      </c>
      <c r="B49" s="1818">
        <v>206</v>
      </c>
      <c r="C49" s="1819">
        <v>0.1</v>
      </c>
      <c r="D49" s="1816" t="s">
        <v>564</v>
      </c>
      <c r="E49" s="950">
        <f>SUM(E50:E52)</f>
        <v>41</v>
      </c>
      <c r="F49" s="951">
        <f>SUM(F50:F52)</f>
        <v>0</v>
      </c>
      <c r="G49" s="890">
        <f>SUM(G50:G52)</f>
        <v>0</v>
      </c>
      <c r="H49" s="890">
        <f t="shared" ref="H49:AF49" si="17">SUM(H50:H52)</f>
        <v>0</v>
      </c>
      <c r="I49" s="890">
        <f t="shared" si="17"/>
        <v>0</v>
      </c>
      <c r="J49" s="890">
        <f t="shared" si="17"/>
        <v>0</v>
      </c>
      <c r="K49" s="891">
        <f t="shared" si="17"/>
        <v>0</v>
      </c>
      <c r="L49" s="2064">
        <f>SUM(L50:L52)</f>
        <v>0</v>
      </c>
      <c r="M49" s="885">
        <f t="shared" si="17"/>
        <v>0</v>
      </c>
      <c r="N49" s="886">
        <f t="shared" si="17"/>
        <v>0</v>
      </c>
      <c r="O49" s="886">
        <f t="shared" si="17"/>
        <v>0</v>
      </c>
      <c r="P49" s="886">
        <f t="shared" si="17"/>
        <v>0</v>
      </c>
      <c r="Q49" s="886">
        <f t="shared" si="17"/>
        <v>0</v>
      </c>
      <c r="R49" s="887">
        <f t="shared" si="17"/>
        <v>0</v>
      </c>
      <c r="S49" s="952">
        <f t="shared" si="17"/>
        <v>3</v>
      </c>
      <c r="T49" s="888">
        <f t="shared" si="17"/>
        <v>0</v>
      </c>
      <c r="U49" s="886">
        <f t="shared" si="17"/>
        <v>0</v>
      </c>
      <c r="V49" s="886">
        <f t="shared" si="17"/>
        <v>0</v>
      </c>
      <c r="W49" s="886">
        <f t="shared" si="17"/>
        <v>0</v>
      </c>
      <c r="X49" s="886">
        <f t="shared" si="17"/>
        <v>0</v>
      </c>
      <c r="Y49" s="887">
        <f t="shared" si="17"/>
        <v>0</v>
      </c>
      <c r="Z49" s="952">
        <f t="shared" si="17"/>
        <v>44</v>
      </c>
      <c r="AA49" s="889">
        <f t="shared" si="17"/>
        <v>88</v>
      </c>
      <c r="AB49" s="890">
        <f t="shared" si="17"/>
        <v>80</v>
      </c>
      <c r="AC49" s="890">
        <f t="shared" si="17"/>
        <v>75</v>
      </c>
      <c r="AD49" s="890">
        <f t="shared" si="17"/>
        <v>70</v>
      </c>
      <c r="AE49" s="890">
        <f t="shared" si="17"/>
        <v>80</v>
      </c>
      <c r="AF49" s="891">
        <f t="shared" si="17"/>
        <v>90</v>
      </c>
      <c r="AH49" s="566"/>
    </row>
    <row r="50" spans="1:34">
      <c r="A50" s="937"/>
      <c r="B50" s="1635">
        <v>20601</v>
      </c>
      <c r="C50" s="1634">
        <v>0.1</v>
      </c>
      <c r="D50" s="1626" t="s">
        <v>766</v>
      </c>
      <c r="E50" s="925">
        <f>'11.2. Нови активи отч.год.'!E51</f>
        <v>39</v>
      </c>
      <c r="F50" s="881">
        <f>SUMIF('9.Инвестиционна програма'!$B$11:$B$34,$B50,'9.Инвестиционна програма'!F$11:F$34)*$E$5</f>
        <v>0</v>
      </c>
      <c r="G50" s="882">
        <f>SUMIF('9.Инвестиционна програма'!$B$11:$B$34,$B50,'9.Инвестиционна програма'!G$11:G$34)*$E$5</f>
        <v>0</v>
      </c>
      <c r="H50" s="882">
        <f>SUMIF('9.Инвестиционна програма'!$B$11:$B$34,$B50,'9.Инвестиционна програма'!H$11:H$34)*$E$5</f>
        <v>0</v>
      </c>
      <c r="I50" s="882">
        <f>SUMIF('9.Инвестиционна програма'!$B$11:$B$34,$B50,'9.Инвестиционна програма'!I$11:I$34)*$E$5</f>
        <v>0</v>
      </c>
      <c r="J50" s="882">
        <f>SUMIF('9.Инвестиционна програма'!$B$11:$B$34,$B50,'9.Инвестиционна програма'!J$11:J$34)*$E$5</f>
        <v>0</v>
      </c>
      <c r="K50" s="883">
        <f>SUMIF('9.Инвестиционна програма'!$B$11:$B$34,$B50,'9.Инвестиционна програма'!K$11:K$34)*$E$5</f>
        <v>0</v>
      </c>
      <c r="L50" s="1487">
        <f>'11.2. Нови активи отч.год.'!L51</f>
        <v>0</v>
      </c>
      <c r="M50" s="930">
        <f>SUMIF('9.Инвестиционна програма'!$B$36:$B$46,$B50,'9.Инвестиционна програма'!F$36:F$46)*$E$5</f>
        <v>0</v>
      </c>
      <c r="N50" s="931">
        <f>SUMIF('9.Инвестиционна програма'!$B$36:$B$46,$B50,'9.Инвестиционна програма'!G$36:G$46)*$E$5</f>
        <v>0</v>
      </c>
      <c r="O50" s="931">
        <f>SUMIF('9.Инвестиционна програма'!$B$36:$B$46,$B50,'9.Инвестиционна програма'!H$36:H$46)*$E$5</f>
        <v>0</v>
      </c>
      <c r="P50" s="931">
        <f>SUMIF('9.Инвестиционна програма'!$B$36:$B$46,$B50,'9.Инвестиционна програма'!I$36:I$46)*$E$5</f>
        <v>0</v>
      </c>
      <c r="Q50" s="931">
        <f>SUMIF('9.Инвестиционна програма'!$B$36:$B$46,$B50,'9.Инвестиционна програма'!J$36:J$46)*$E$5</f>
        <v>0</v>
      </c>
      <c r="R50" s="932">
        <f>SUMIF('9.Инвестиционна програма'!$B$36:$B$46,$B50,'9.Инвестиционна програма'!K$36:K$46)*$E$5</f>
        <v>0</v>
      </c>
      <c r="S50" s="926">
        <f>'11.2. Нови активи отч.год.'!S51</f>
        <v>3</v>
      </c>
      <c r="T50" s="927">
        <f>SUMIF('9.Инвестиционна програма'!$B$48:$B$55,$B50,'9.Инвестиционна програма'!F$48:F$55)*$E$5</f>
        <v>0</v>
      </c>
      <c r="U50" s="927">
        <f>SUMIF('9.Инвестиционна програма'!$B$48:$B$55,$B50,'9.Инвестиционна програма'!G$48:G$55)*$E$5</f>
        <v>0</v>
      </c>
      <c r="V50" s="927">
        <f>SUMIF('9.Инвестиционна програма'!$B$48:$B$55,$B50,'9.Инвестиционна програма'!H$48:H$55)*$E$5</f>
        <v>0</v>
      </c>
      <c r="W50" s="927">
        <f>SUMIF('9.Инвестиционна програма'!$B$48:$B$55,$B50,'9.Инвестиционна програма'!I$48:I$55)*$E$5</f>
        <v>0</v>
      </c>
      <c r="X50" s="927">
        <f>SUMIF('9.Инвестиционна програма'!$B$48:$B$55,$B50,'9.Инвестиционна програма'!J$48:J$55)*$E$5</f>
        <v>0</v>
      </c>
      <c r="Y50" s="927">
        <f>SUMIF('9.Инвестиционна програма'!$B$48:$B$55,$B50,'9.Инвестиционна програма'!K$48:K$55)*$E$5</f>
        <v>0</v>
      </c>
      <c r="Z50" s="926">
        <f>'11.2. Нови активи отч.год.'!Z51</f>
        <v>42</v>
      </c>
      <c r="AA50" s="930">
        <f>(SUMIF('9.Инвестиционна програма'!$B$57:$B$58,$B50,'9.Инвестиционна програма'!F$57:F$58)+SUMIF('9.Инвестиционна програма'!$B$60:$B$67,$B50,'9.Инвестиционна програма'!F$60:F$67))*$E$5</f>
        <v>88</v>
      </c>
      <c r="AB50" s="927">
        <f>(SUMIF('9.Инвестиционна програма'!$B$57:$B$58,$B50,'9.Инвестиционна програма'!G$57:G$58)+SUMIF('9.Инвестиционна програма'!$B$60:$B$67,$B50,'9.Инвестиционна програма'!G$60:G$67))*$E$5</f>
        <v>80</v>
      </c>
      <c r="AC50" s="927">
        <f>(SUMIF('9.Инвестиционна програма'!$B$57:$B$58,$B50,'9.Инвестиционна програма'!H$57:H$58)+SUMIF('9.Инвестиционна програма'!$B$60:$B$67,$B50,'9.Инвестиционна програма'!H$60:H$67))*$E$5</f>
        <v>75</v>
      </c>
      <c r="AD50" s="927">
        <f>(SUMIF('9.Инвестиционна програма'!$B$57:$B$58,$B50,'9.Инвестиционна програма'!I$57:I$58)+SUMIF('9.Инвестиционна програма'!$B$60:$B$67,$B50,'9.Инвестиционна програма'!I$60:I$67))*$E$5</f>
        <v>70</v>
      </c>
      <c r="AE50" s="927">
        <f>(SUMIF('9.Инвестиционна програма'!$B$57:$B$58,$B50,'9.Инвестиционна програма'!J$57:J$58)+SUMIF('9.Инвестиционна програма'!$B$60:$B$67,$B50,'9.Инвестиционна програма'!J$60:J$67))*$E$5</f>
        <v>80</v>
      </c>
      <c r="AF50" s="933">
        <f>(SUMIF('9.Инвестиционна програма'!$B$57:$B$58,$B50,'9.Инвестиционна програма'!K$57:K$58)+SUMIF('9.Инвестиционна програма'!$B$60:$B$67,$B50,'9.Инвестиционна програма'!K$60:K$67))*$E$5</f>
        <v>90</v>
      </c>
      <c r="AG50" s="307"/>
      <c r="AH50" s="566"/>
    </row>
    <row r="51" spans="1:34">
      <c r="A51" s="937"/>
      <c r="B51" s="1635">
        <v>20602</v>
      </c>
      <c r="C51" s="1634">
        <v>0.1</v>
      </c>
      <c r="D51" s="1626" t="s">
        <v>607</v>
      </c>
      <c r="E51" s="925">
        <f>'11.2. Нови активи отч.год.'!E52</f>
        <v>2</v>
      </c>
      <c r="F51" s="881">
        <f>SUMIF('9.Инвестиционна програма'!$B$11:$B$34,$B51,'9.Инвестиционна програма'!F$11:F$34)*$E$5</f>
        <v>0</v>
      </c>
      <c r="G51" s="882">
        <f>SUMIF('9.Инвестиционна програма'!$B$11:$B$34,$B51,'9.Инвестиционна програма'!G$11:G$34)*$E$5</f>
        <v>0</v>
      </c>
      <c r="H51" s="882">
        <f>SUMIF('9.Инвестиционна програма'!$B$11:$B$34,$B51,'9.Инвестиционна програма'!H$11:H$34)*$E$5</f>
        <v>0</v>
      </c>
      <c r="I51" s="882">
        <f>SUMIF('9.Инвестиционна програма'!$B$11:$B$34,$B51,'9.Инвестиционна програма'!I$11:I$34)*$E$5</f>
        <v>0</v>
      </c>
      <c r="J51" s="882">
        <f>SUMIF('9.Инвестиционна програма'!$B$11:$B$34,$B51,'9.Инвестиционна програма'!J$11:J$34)*$E$5</f>
        <v>0</v>
      </c>
      <c r="K51" s="883">
        <f>SUMIF('9.Инвестиционна програма'!$B$11:$B$34,$B51,'9.Инвестиционна програма'!K$11:K$34)*$E$5</f>
        <v>0</v>
      </c>
      <c r="L51" s="1487">
        <f>'11.2. Нови активи отч.год.'!L52</f>
        <v>0</v>
      </c>
      <c r="M51" s="930">
        <f>SUMIF('9.Инвестиционна програма'!$B$36:$B$46,$B51,'9.Инвестиционна програма'!F$36:F$46)*$E$5</f>
        <v>0</v>
      </c>
      <c r="N51" s="931">
        <f>SUMIF('9.Инвестиционна програма'!$B$36:$B$46,$B51,'9.Инвестиционна програма'!G$36:G$46)*$E$5</f>
        <v>0</v>
      </c>
      <c r="O51" s="931">
        <f>SUMIF('9.Инвестиционна програма'!$B$36:$B$46,$B51,'9.Инвестиционна програма'!H$36:H$46)*$E$5</f>
        <v>0</v>
      </c>
      <c r="P51" s="931">
        <f>SUMIF('9.Инвестиционна програма'!$B$36:$B$46,$B51,'9.Инвестиционна програма'!I$36:I$46)*$E$5</f>
        <v>0</v>
      </c>
      <c r="Q51" s="931">
        <f>SUMIF('9.Инвестиционна програма'!$B$36:$B$46,$B51,'9.Инвестиционна програма'!J$36:J$46)*$E$5</f>
        <v>0</v>
      </c>
      <c r="R51" s="932">
        <f>SUMIF('9.Инвестиционна програма'!$B$36:$B$46,$B51,'9.Инвестиционна програма'!K$36:K$46)*$E$5</f>
        <v>0</v>
      </c>
      <c r="S51" s="926">
        <f>'11.2. Нови активи отч.год.'!S52</f>
        <v>0</v>
      </c>
      <c r="T51" s="927">
        <f>SUMIF('9.Инвестиционна програма'!$B$48:$B$55,$B51,'9.Инвестиционна програма'!F$48:F$55)*$E$5</f>
        <v>0</v>
      </c>
      <c r="U51" s="927">
        <f>SUMIF('9.Инвестиционна програма'!$B$48:$B$55,$B51,'9.Инвестиционна програма'!G$48:G$55)*$E$5</f>
        <v>0</v>
      </c>
      <c r="V51" s="927">
        <f>SUMIF('9.Инвестиционна програма'!$B$48:$B$55,$B51,'9.Инвестиционна програма'!H$48:H$55)*$E$5</f>
        <v>0</v>
      </c>
      <c r="W51" s="927">
        <f>SUMIF('9.Инвестиционна програма'!$B$48:$B$55,$B51,'9.Инвестиционна програма'!I$48:I$55)*$E$5</f>
        <v>0</v>
      </c>
      <c r="X51" s="927">
        <f>SUMIF('9.Инвестиционна програма'!$B$48:$B$55,$B51,'9.Инвестиционна програма'!J$48:J$55)*$E$5</f>
        <v>0</v>
      </c>
      <c r="Y51" s="927">
        <f>SUMIF('9.Инвестиционна програма'!$B$48:$B$55,$B51,'9.Инвестиционна програма'!K$48:K$55)*$E$5</f>
        <v>0</v>
      </c>
      <c r="Z51" s="926">
        <f>'11.2. Нови активи отч.год.'!Z52</f>
        <v>2</v>
      </c>
      <c r="AA51" s="930">
        <f>(SUMIF('9.Инвестиционна програма'!$B$57:$B$58,$B51,'9.Инвестиционна програма'!F$57:F$58)+SUMIF('9.Инвестиционна програма'!$B$60:$B$67,$B51,'9.Инвестиционна програма'!F$60:F$67))*$E$5</f>
        <v>0</v>
      </c>
      <c r="AB51" s="927">
        <f>(SUMIF('9.Инвестиционна програма'!$B$57:$B$58,$B51,'9.Инвестиционна програма'!G$57:G$58)+SUMIF('9.Инвестиционна програма'!$B$60:$B$67,$B51,'9.Инвестиционна програма'!G$60:G$67))*$E$5</f>
        <v>0</v>
      </c>
      <c r="AC51" s="927">
        <f>(SUMIF('9.Инвестиционна програма'!$B$57:$B$58,$B51,'9.Инвестиционна програма'!H$57:H$58)+SUMIF('9.Инвестиционна програма'!$B$60:$B$67,$B51,'9.Инвестиционна програма'!H$60:H$67))*$E$5</f>
        <v>0</v>
      </c>
      <c r="AD51" s="927">
        <f>(SUMIF('9.Инвестиционна програма'!$B$57:$B$58,$B51,'9.Инвестиционна програма'!I$57:I$58)+SUMIF('9.Инвестиционна програма'!$B$60:$B$67,$B51,'9.Инвестиционна програма'!I$60:I$67))*$E$5</f>
        <v>0</v>
      </c>
      <c r="AE51" s="927">
        <f>(SUMIF('9.Инвестиционна програма'!$B$57:$B$58,$B51,'9.Инвестиционна програма'!J$57:J$58)+SUMIF('9.Инвестиционна програма'!$B$60:$B$67,$B51,'9.Инвестиционна програма'!J$60:J$67))*$E$5</f>
        <v>0</v>
      </c>
      <c r="AF51" s="933">
        <f>(SUMIF('9.Инвестиционна програма'!$B$57:$B$58,$B51,'9.Инвестиционна програма'!K$57:K$58)+SUMIF('9.Инвестиционна програма'!$B$60:$B$67,$B51,'9.Инвестиционна програма'!K$60:K$67))*$E$5</f>
        <v>0</v>
      </c>
      <c r="AG51" s="307"/>
      <c r="AH51" s="566"/>
    </row>
    <row r="52" spans="1:34">
      <c r="A52" s="937"/>
      <c r="B52" s="1820">
        <v>20603</v>
      </c>
      <c r="C52" s="1821">
        <v>0.5</v>
      </c>
      <c r="D52" s="1822" t="s">
        <v>1441</v>
      </c>
      <c r="E52" s="1487">
        <f>'11.2. Нови активи отч.год.'!E53</f>
        <v>0</v>
      </c>
      <c r="F52" s="881">
        <f>SUMIF('9.Инвестиционна програма'!$B$11:$B$34,$B52,'9.Инвестиционна програма'!F$11:F$34)*$E$5</f>
        <v>0</v>
      </c>
      <c r="G52" s="882">
        <f>SUMIF('9.Инвестиционна програма'!$B$11:$B$34,$B52,'9.Инвестиционна програма'!G$11:G$34)*$E$5</f>
        <v>0</v>
      </c>
      <c r="H52" s="882">
        <f>SUMIF('9.Инвестиционна програма'!$B$11:$B$34,$B52,'9.Инвестиционна програма'!H$11:H$34)*$E$5</f>
        <v>0</v>
      </c>
      <c r="I52" s="882">
        <f>SUMIF('9.Инвестиционна програма'!$B$11:$B$34,$B52,'9.Инвестиционна програма'!I$11:I$34)*$E$5</f>
        <v>0</v>
      </c>
      <c r="J52" s="882">
        <f>SUMIF('9.Инвестиционна програма'!$B$11:$B$34,$B52,'9.Инвестиционна програма'!J$11:J$34)*$E$5</f>
        <v>0</v>
      </c>
      <c r="K52" s="883">
        <f>SUMIF('9.Инвестиционна програма'!$B$11:$B$34,$B52,'9.Инвестиционна програма'!K$11:K$34)*$E$5</f>
        <v>0</v>
      </c>
      <c r="L52" s="1487">
        <f>'11.2. Нови активи отч.год.'!L53</f>
        <v>0</v>
      </c>
      <c r="M52" s="930">
        <f>SUMIF('9.Инвестиционна програма'!$B$36:$B$46,$B52,'9.Инвестиционна програма'!F$36:F$46)*$E$5</f>
        <v>0</v>
      </c>
      <c r="N52" s="931">
        <f>SUMIF('9.Инвестиционна програма'!$B$36:$B$46,$B52,'9.Инвестиционна програма'!G$36:G$46)*$E$5</f>
        <v>0</v>
      </c>
      <c r="O52" s="931">
        <f>SUMIF('9.Инвестиционна програма'!$B$36:$B$46,$B52,'9.Инвестиционна програма'!H$36:H$46)*$E$5</f>
        <v>0</v>
      </c>
      <c r="P52" s="931">
        <f>SUMIF('9.Инвестиционна програма'!$B$36:$B$46,$B52,'9.Инвестиционна програма'!I$36:I$46)*$E$5</f>
        <v>0</v>
      </c>
      <c r="Q52" s="931">
        <f>SUMIF('9.Инвестиционна програма'!$B$36:$B$46,$B52,'9.Инвестиционна програма'!J$36:J$46)*$E$5</f>
        <v>0</v>
      </c>
      <c r="R52" s="932">
        <f>SUMIF('9.Инвестиционна програма'!$B$36:$B$46,$B52,'9.Инвестиционна програма'!K$36:K$46)*$E$5</f>
        <v>0</v>
      </c>
      <c r="S52" s="926">
        <f>'11.2. Нови активи отч.год.'!S53</f>
        <v>0</v>
      </c>
      <c r="T52" s="927">
        <f>SUMIF('9.Инвестиционна програма'!$B$48:$B$55,$B52,'9.Инвестиционна програма'!F$48:F$55)*$E$5</f>
        <v>0</v>
      </c>
      <c r="U52" s="927">
        <f>SUMIF('9.Инвестиционна програма'!$B$48:$B$55,$B52,'9.Инвестиционна програма'!G$48:G$55)*$E$5</f>
        <v>0</v>
      </c>
      <c r="V52" s="927">
        <f>SUMIF('9.Инвестиционна програма'!$B$48:$B$55,$B52,'9.Инвестиционна програма'!H$48:H$55)*$E$5</f>
        <v>0</v>
      </c>
      <c r="W52" s="927">
        <f>SUMIF('9.Инвестиционна програма'!$B$48:$B$55,$B52,'9.Инвестиционна програма'!I$48:I$55)*$E$5</f>
        <v>0</v>
      </c>
      <c r="X52" s="927">
        <f>SUMIF('9.Инвестиционна програма'!$B$48:$B$55,$B52,'9.Инвестиционна програма'!J$48:J$55)*$E$5</f>
        <v>0</v>
      </c>
      <c r="Y52" s="927">
        <f>SUMIF('9.Инвестиционна програма'!$B$48:$B$55,$B52,'9.Инвестиционна програма'!K$48:K$55)*$E$5</f>
        <v>0</v>
      </c>
      <c r="Z52" s="926">
        <f>'11.2. Нови активи отч.год.'!Z53</f>
        <v>0</v>
      </c>
      <c r="AA52" s="930">
        <f>(SUMIF('9.Инвестиционна програма'!$B$57:$B$58,$B52,'9.Инвестиционна програма'!F$57:F$58)+SUMIF('9.Инвестиционна програма'!$B$60:$B$67,$B52,'9.Инвестиционна програма'!F$60:F$67))*$E$5</f>
        <v>0</v>
      </c>
      <c r="AB52" s="927">
        <f>(SUMIF('9.Инвестиционна програма'!$B$57:$B$58,$B52,'9.Инвестиционна програма'!G$57:G$58)+SUMIF('9.Инвестиционна програма'!$B$60:$B$67,$B52,'9.Инвестиционна програма'!G$60:G$67))*$E$5</f>
        <v>0</v>
      </c>
      <c r="AC52" s="927">
        <f>(SUMIF('9.Инвестиционна програма'!$B$57:$B$58,$B52,'9.Инвестиционна програма'!H$57:H$58)+SUMIF('9.Инвестиционна програма'!$B$60:$B$67,$B52,'9.Инвестиционна програма'!H$60:H$67))*$E$5</f>
        <v>0</v>
      </c>
      <c r="AD52" s="927">
        <f>(SUMIF('9.Инвестиционна програма'!$B$57:$B$58,$B52,'9.Инвестиционна програма'!I$57:I$58)+SUMIF('9.Инвестиционна програма'!$B$60:$B$67,$B52,'9.Инвестиционна програма'!I$60:I$67))*$E$5</f>
        <v>0</v>
      </c>
      <c r="AE52" s="927">
        <f>(SUMIF('9.Инвестиционна програма'!$B$57:$B$58,$B52,'9.Инвестиционна програма'!J$57:J$58)+SUMIF('9.Инвестиционна програма'!$B$60:$B$67,$B52,'9.Инвестиционна програма'!J$60:J$67))*$E$5</f>
        <v>0</v>
      </c>
      <c r="AF52" s="933">
        <f>(SUMIF('9.Инвестиционна програма'!$B$57:$B$58,$B52,'9.Инвестиционна програма'!K$57:K$58)+SUMIF('9.Инвестиционна програма'!$B$60:$B$67,$B52,'9.Инвестиционна програма'!K$60:K$67))*$E$5</f>
        <v>0</v>
      </c>
      <c r="AG52" s="307"/>
      <c r="AH52" s="566"/>
    </row>
    <row r="53" spans="1:34" s="262" customFormat="1">
      <c r="A53" s="937">
        <v>7</v>
      </c>
      <c r="B53" s="1818">
        <v>208</v>
      </c>
      <c r="C53" s="1819">
        <v>0.2</v>
      </c>
      <c r="D53" s="1816" t="s">
        <v>585</v>
      </c>
      <c r="E53" s="925">
        <f>'11.2. Нови активи отч.год.'!E54</f>
        <v>13</v>
      </c>
      <c r="F53" s="953">
        <f>SUMIF('9.Инвестиционна програма'!$B$11:$B$34,$B53,'9.Инвестиционна програма'!F$11:F$34)*$E$5</f>
        <v>0</v>
      </c>
      <c r="G53" s="954">
        <f>SUMIF('9.Инвестиционна програма'!$B$11:$B$34,$B53,'9.Инвестиционна програма'!G$11:G$34)*$E$5</f>
        <v>0</v>
      </c>
      <c r="H53" s="954">
        <f>SUMIF('9.Инвестиционна програма'!$B$11:$B$34,$B53,'9.Инвестиционна програма'!H$11:H$34)*$E$5</f>
        <v>0</v>
      </c>
      <c r="I53" s="954">
        <f>SUMIF('9.Инвестиционна програма'!$B$11:$B$34,$B53,'9.Инвестиционна програма'!I$11:I$34)*$E$5</f>
        <v>0</v>
      </c>
      <c r="J53" s="954">
        <f>SUMIF('9.Инвестиционна програма'!$B$11:$B$34,$B53,'9.Инвестиционна програма'!J$11:J$34)*$E$5</f>
        <v>0</v>
      </c>
      <c r="K53" s="955">
        <f>SUMIF('9.Инвестиционна програма'!$B$11:$B$34,$B53,'9.Инвестиционна програма'!K$11:K$34)*$E$5</f>
        <v>0</v>
      </c>
      <c r="L53" s="956">
        <f>'11.2. Нови активи отч.год.'!L54</f>
        <v>0</v>
      </c>
      <c r="M53" s="953">
        <f>SUMIF('9.Инвестиционна програма'!$B$36:$B$46,$B53,'9.Инвестиционна програма'!F$36:F$46)*$E$5</f>
        <v>0</v>
      </c>
      <c r="N53" s="954">
        <f>SUMIF('9.Инвестиционна програма'!$B$36:$B$46,$B53,'9.Инвестиционна програма'!G$36:G$46)*$E$5</f>
        <v>0</v>
      </c>
      <c r="O53" s="954">
        <f>SUMIF('9.Инвестиционна програма'!$B$36:$B$46,$B53,'9.Инвестиционна програма'!H$36:H$46)*$E$5</f>
        <v>0</v>
      </c>
      <c r="P53" s="954">
        <f>SUMIF('9.Инвестиционна програма'!$B$36:$B$46,$B53,'9.Инвестиционна програма'!I$36:I$46)*$E$5</f>
        <v>0</v>
      </c>
      <c r="Q53" s="954">
        <f>SUMIF('9.Инвестиционна програма'!$B$36:$B$46,$B53,'9.Инвестиционна програма'!J$36:J$46)*$E$5</f>
        <v>0</v>
      </c>
      <c r="R53" s="957">
        <f>SUMIF('9.Инвестиционна програма'!$B$36:$B$46,$B53,'9.Инвестиционна програма'!K$36:K$46)*$E$5</f>
        <v>0</v>
      </c>
      <c r="S53" s="926">
        <f>'11.2. Нови активи отч.год.'!S54</f>
        <v>2</v>
      </c>
      <c r="T53" s="958">
        <f>SUMIF('9.Инвестиционна програма'!$B$48:$B$55,$B53,'9.Инвестиционна програма'!F$48:F$55)*$E$5</f>
        <v>0</v>
      </c>
      <c r="U53" s="954">
        <f>SUMIF('9.Инвестиционна програма'!$B$48:$B$55,$B53,'9.Инвестиционна програма'!G$48:G$55)*$E$5</f>
        <v>0</v>
      </c>
      <c r="V53" s="954">
        <f>SUMIF('9.Инвестиционна програма'!$B$48:$B$55,$B53,'9.Инвестиционна програма'!H$48:H$55)*$E$5</f>
        <v>0</v>
      </c>
      <c r="W53" s="954">
        <f>SUMIF('9.Инвестиционна програма'!$B$48:$B$55,$B53,'9.Инвестиционна програма'!I$48:I$55)*$E$5</f>
        <v>0</v>
      </c>
      <c r="X53" s="954">
        <f>SUMIF('9.Инвестиционна програма'!$B$48:$B$55,$B53,'9.Инвестиционна програма'!J$48:J$55)*$E$5</f>
        <v>0</v>
      </c>
      <c r="Y53" s="957">
        <f>SUMIF('9.Инвестиционна програма'!$B$48:$B$55,$B53,'9.Инвестиционна програма'!K$48:K$55)*$E$5</f>
        <v>0</v>
      </c>
      <c r="Z53" s="926">
        <f>'11.2. Нови активи отч.год.'!Z54</f>
        <v>15</v>
      </c>
      <c r="AA53" s="958">
        <f>(SUMIF('9.Инвестиционна програма'!$B$57:$B$58,$B53,'9.Инвестиционна програма'!F$57:F$58)+SUMIF('9.Инвестиционна програма'!$B$60:$B$67,$B53,'9.Инвестиционна програма'!F$60:F$67))*$E$5</f>
        <v>0</v>
      </c>
      <c r="AB53" s="954">
        <f>(SUMIF('9.Инвестиционна програма'!$B$57:$B$58,$B53,'9.Инвестиционна програма'!G$57:G$58)+SUMIF('9.Инвестиционна програма'!$B$60:$B$67,$B53,'9.Инвестиционна програма'!G$60:G$67))*$E$5</f>
        <v>0</v>
      </c>
      <c r="AC53" s="954">
        <f>(SUMIF('9.Инвестиционна програма'!$B$57:$B$58,$B53,'9.Инвестиционна програма'!H$57:H$58)+SUMIF('9.Инвестиционна програма'!$B$60:$B$67,$B53,'9.Инвестиционна програма'!H$60:H$67))*$E$5</f>
        <v>0</v>
      </c>
      <c r="AD53" s="954">
        <f>(SUMIF('9.Инвестиционна програма'!$B$57:$B$58,$B53,'9.Инвестиционна програма'!I$57:I$58)+SUMIF('9.Инвестиционна програма'!$B$60:$B$67,$B53,'9.Инвестиционна програма'!I$60:I$67))*$E$5</f>
        <v>0</v>
      </c>
      <c r="AE53" s="954">
        <f>(SUMIF('9.Инвестиционна програма'!$B$57:$B$58,$B53,'9.Инвестиционна програма'!J$57:J$58)+SUMIF('9.Инвестиционна програма'!$B$60:$B$67,$B53,'9.Инвестиционна програма'!J$60:J$67))*$E$5</f>
        <v>0</v>
      </c>
      <c r="AF53" s="957">
        <f>(SUMIF('9.Инвестиционна програма'!$B$57:$B$58,$B53,'9.Инвестиционна програма'!K$57:K$58)+SUMIF('9.Инвестиционна програма'!$B$60:$B$67,$B53,'9.Инвестиционна програма'!K$60:K$67))*$E$5</f>
        <v>0</v>
      </c>
      <c r="AG53" s="307"/>
      <c r="AH53" s="565"/>
    </row>
    <row r="54" spans="1:34" s="262" customFormat="1">
      <c r="A54" s="937">
        <v>8</v>
      </c>
      <c r="B54" s="1818">
        <v>209</v>
      </c>
      <c r="C54" s="1819">
        <v>0.1</v>
      </c>
      <c r="D54" s="1816" t="s">
        <v>276</v>
      </c>
      <c r="E54" s="925">
        <f>'11.2. Нови активи отч.год.'!E55</f>
        <v>0</v>
      </c>
      <c r="F54" s="953">
        <f>SUMIF('9.Инвестиционна програма'!$B$11:$B$34,$B54,'9.Инвестиционна програма'!F$11:F$34)*$E$5</f>
        <v>0</v>
      </c>
      <c r="G54" s="954">
        <f>SUMIF('9.Инвестиционна програма'!$B$11:$B$34,$B54,'9.Инвестиционна програма'!G$11:G$34)*$E$5</f>
        <v>0</v>
      </c>
      <c r="H54" s="954">
        <f>SUMIF('9.Инвестиционна програма'!$B$11:$B$34,$B54,'9.Инвестиционна програма'!H$11:H$34)*$E$5</f>
        <v>0</v>
      </c>
      <c r="I54" s="954">
        <f>SUMIF('9.Инвестиционна програма'!$B$11:$B$34,$B54,'9.Инвестиционна програма'!I$11:I$34)*$E$5</f>
        <v>0</v>
      </c>
      <c r="J54" s="954">
        <f>SUMIF('9.Инвестиционна програма'!$B$11:$B$34,$B54,'9.Инвестиционна програма'!J$11:J$34)*$E$5</f>
        <v>0</v>
      </c>
      <c r="K54" s="955">
        <f>SUMIF('9.Инвестиционна програма'!$B$11:$B$34,$B54,'9.Инвестиционна програма'!K$11:K$34)*$E$5</f>
        <v>0</v>
      </c>
      <c r="L54" s="926">
        <f>'11.2. Нови активи отч.год.'!L55</f>
        <v>0</v>
      </c>
      <c r="M54" s="953">
        <f>SUMIF('9.Инвестиционна програма'!$B$36:$B$46,$B54,'9.Инвестиционна програма'!F$36:F$46)*$E$5</f>
        <v>0</v>
      </c>
      <c r="N54" s="954">
        <f>SUMIF('9.Инвестиционна програма'!$B$36:$B$46,$B54,'9.Инвестиционна програма'!G$36:G$46)*$E$5</f>
        <v>0</v>
      </c>
      <c r="O54" s="954">
        <f>SUMIF('9.Инвестиционна програма'!$B$36:$B$46,$B54,'9.Инвестиционна програма'!H$36:H$46)*$E$5</f>
        <v>0</v>
      </c>
      <c r="P54" s="954">
        <f>SUMIF('9.Инвестиционна програма'!$B$36:$B$46,$B54,'9.Инвестиционна програма'!I$36:I$46)*$E$5</f>
        <v>0</v>
      </c>
      <c r="Q54" s="954">
        <f>SUMIF('9.Инвестиционна програма'!$B$36:$B$46,$B54,'9.Инвестиционна програма'!J$36:J$46)*$E$5</f>
        <v>0</v>
      </c>
      <c r="R54" s="957">
        <f>SUMIF('9.Инвестиционна програма'!$B$36:$B$46,$B54,'9.Инвестиционна програма'!K$36:K$46)*$E$5</f>
        <v>0</v>
      </c>
      <c r="S54" s="926">
        <f>'11.2. Нови активи отч.год.'!S55</f>
        <v>0</v>
      </c>
      <c r="T54" s="958">
        <f>SUMIF('9.Инвестиционна програма'!$B$48:$B$55,$B54,'9.Инвестиционна програма'!F$48:F$55)*$E$5</f>
        <v>0</v>
      </c>
      <c r="U54" s="954">
        <f>SUMIF('9.Инвестиционна програма'!$B$48:$B$55,$B54,'9.Инвестиционна програма'!G$48:G$55)*$E$5</f>
        <v>0</v>
      </c>
      <c r="V54" s="954">
        <f>SUMIF('9.Инвестиционна програма'!$B$48:$B$55,$B54,'9.Инвестиционна програма'!H$48:H$55)*$E$5</f>
        <v>0</v>
      </c>
      <c r="W54" s="954">
        <f>SUMIF('9.Инвестиционна програма'!$B$48:$B$55,$B54,'9.Инвестиционна програма'!I$48:I$55)*$E$5</f>
        <v>0</v>
      </c>
      <c r="X54" s="954">
        <f>SUMIF('9.Инвестиционна програма'!$B$48:$B$55,$B54,'9.Инвестиционна програма'!J$48:J$55)*$E$5</f>
        <v>0</v>
      </c>
      <c r="Y54" s="957">
        <f>SUMIF('9.Инвестиционна програма'!$B$48:$B$55,$B54,'9.Инвестиционна програма'!K$48:K$55)*$E$5</f>
        <v>0</v>
      </c>
      <c r="Z54" s="926">
        <f>'11.2. Нови активи отч.год.'!Z55</f>
        <v>0</v>
      </c>
      <c r="AA54" s="958">
        <f>(SUMIF('9.Инвестиционна програма'!$B$57:$B$58,$B54,'9.Инвестиционна програма'!F$57:F$58)+SUMIF('9.Инвестиционна програма'!$B$60:$B$67,$B54,'9.Инвестиционна програма'!F$60:F$67))*$E$5</f>
        <v>0</v>
      </c>
      <c r="AB54" s="954">
        <f>(SUMIF('9.Инвестиционна програма'!$B$57:$B$58,$B54,'9.Инвестиционна програма'!G$57:G$58)+SUMIF('9.Инвестиционна програма'!$B$60:$B$67,$B54,'9.Инвестиционна програма'!G$60:G$67))*$E$5</f>
        <v>0</v>
      </c>
      <c r="AC54" s="954">
        <f>(SUMIF('9.Инвестиционна програма'!$B$57:$B$58,$B54,'9.Инвестиционна програма'!H$57:H$58)+SUMIF('9.Инвестиционна програма'!$B$60:$B$67,$B54,'9.Инвестиционна програма'!H$60:H$67))*$E$5</f>
        <v>0</v>
      </c>
      <c r="AD54" s="954">
        <f>(SUMIF('9.Инвестиционна програма'!$B$57:$B$58,$B54,'9.Инвестиционна програма'!I$57:I$58)+SUMIF('9.Инвестиционна програма'!$B$60:$B$67,$B54,'9.Инвестиционна програма'!I$60:I$67))*$E$5</f>
        <v>0</v>
      </c>
      <c r="AE54" s="954">
        <f>(SUMIF('9.Инвестиционна програма'!$B$57:$B$58,$B54,'9.Инвестиционна програма'!J$57:J$58)+SUMIF('9.Инвестиционна програма'!$B$60:$B$67,$B54,'9.Инвестиционна програма'!J$60:J$67))*$E$5</f>
        <v>0</v>
      </c>
      <c r="AF54" s="957">
        <f>(SUMIF('9.Инвестиционна програма'!$B$57:$B$58,$B54,'9.Инвестиционна програма'!K$57:K$58)+SUMIF('9.Инвестиционна програма'!$B$60:$B$67,$B54,'9.Инвестиционна програма'!K$60:K$67))*$E$5</f>
        <v>0</v>
      </c>
      <c r="AG54" s="307"/>
      <c r="AH54" s="565"/>
    </row>
    <row r="55" spans="1:34" s="262" customFormat="1" ht="17.25" customHeight="1">
      <c r="A55" s="937">
        <v>9</v>
      </c>
      <c r="B55" s="1818">
        <v>212</v>
      </c>
      <c r="C55" s="1819">
        <v>0.2</v>
      </c>
      <c r="D55" s="1823" t="s">
        <v>277</v>
      </c>
      <c r="E55" s="925">
        <f>'11.2. Нови активи отч.год.'!E56</f>
        <v>2</v>
      </c>
      <c r="F55" s="953">
        <f>SUMIF('9.Инвестиционна програма'!$B$11:$B$34,$B55,'9.Инвестиционна програма'!F$11:F$34)*$E$5</f>
        <v>0</v>
      </c>
      <c r="G55" s="954">
        <f>SUMIF('9.Инвестиционна програма'!$B$11:$B$34,$B55,'9.Инвестиционна програма'!G$11:G$34)*$E$5</f>
        <v>0</v>
      </c>
      <c r="H55" s="954">
        <f>SUMIF('9.Инвестиционна програма'!$B$11:$B$34,$B55,'9.Инвестиционна програма'!H$11:H$34)*$E$5</f>
        <v>0</v>
      </c>
      <c r="I55" s="954">
        <f>SUMIF('9.Инвестиционна програма'!$B$11:$B$34,$B55,'9.Инвестиционна програма'!I$11:I$34)*$E$5</f>
        <v>0</v>
      </c>
      <c r="J55" s="954">
        <f>SUMIF('9.Инвестиционна програма'!$B$11:$B$34,$B55,'9.Инвестиционна програма'!J$11:J$34)*$E$5</f>
        <v>0</v>
      </c>
      <c r="K55" s="955">
        <f>SUMIF('9.Инвестиционна програма'!$B$11:$B$34,$B55,'9.Инвестиционна програма'!K$11:K$34)*$E$5</f>
        <v>0</v>
      </c>
      <c r="L55" s="926">
        <f>'11.2. Нови активи отч.год.'!L56</f>
        <v>0</v>
      </c>
      <c r="M55" s="953">
        <f>SUMIF('9.Инвестиционна програма'!$B$36:$B$46,$B55,'9.Инвестиционна програма'!F$36:F$46)*$E$5</f>
        <v>0</v>
      </c>
      <c r="N55" s="954">
        <f>SUMIF('9.Инвестиционна програма'!$B$36:$B$46,$B55,'9.Инвестиционна програма'!G$36:G$46)*$E$5</f>
        <v>0</v>
      </c>
      <c r="O55" s="954">
        <f>SUMIF('9.Инвестиционна програма'!$B$36:$B$46,$B55,'9.Инвестиционна програма'!H$36:H$46)*$E$5</f>
        <v>0</v>
      </c>
      <c r="P55" s="954">
        <f>SUMIF('9.Инвестиционна програма'!$B$36:$B$46,$B55,'9.Инвестиционна програма'!I$36:I$46)*$E$5</f>
        <v>0</v>
      </c>
      <c r="Q55" s="954">
        <f>SUMIF('9.Инвестиционна програма'!$B$36:$B$46,$B55,'9.Инвестиционна програма'!J$36:J$46)*$E$5</f>
        <v>0</v>
      </c>
      <c r="R55" s="957">
        <f>SUMIF('9.Инвестиционна програма'!$B$36:$B$46,$B55,'9.Инвестиционна програма'!K$36:K$46)*$E$5</f>
        <v>0</v>
      </c>
      <c r="S55" s="926">
        <f>'11.2. Нови активи отч.год.'!S56</f>
        <v>0</v>
      </c>
      <c r="T55" s="958">
        <f>SUMIF('9.Инвестиционна програма'!$B$48:$B$55,$B55,'9.Инвестиционна програма'!F$48:F$55)*$E$5</f>
        <v>0</v>
      </c>
      <c r="U55" s="954">
        <f>SUMIF('9.Инвестиционна програма'!$B$48:$B$55,$B55,'9.Инвестиционна програма'!G$48:G$55)*$E$5</f>
        <v>0</v>
      </c>
      <c r="V55" s="954">
        <f>SUMIF('9.Инвестиционна програма'!$B$48:$B$55,$B55,'9.Инвестиционна програма'!H$48:H$55)*$E$5</f>
        <v>0</v>
      </c>
      <c r="W55" s="954">
        <f>SUMIF('9.Инвестиционна програма'!$B$48:$B$55,$B55,'9.Инвестиционна програма'!I$48:I$55)*$E$5</f>
        <v>0</v>
      </c>
      <c r="X55" s="954">
        <f>SUMIF('9.Инвестиционна програма'!$B$48:$B$55,$B55,'9.Инвестиционна програма'!J$48:J$55)*$E$5</f>
        <v>0</v>
      </c>
      <c r="Y55" s="957">
        <f>SUMIF('9.Инвестиционна програма'!$B$48:$B$55,$B55,'9.Инвестиционна програма'!K$48:K$55)*$E$5</f>
        <v>0</v>
      </c>
      <c r="Z55" s="926">
        <f>'11.2. Нови активи отч.год.'!Z56</f>
        <v>2</v>
      </c>
      <c r="AA55" s="958">
        <f>(SUMIF('9.Инвестиционна програма'!$B$57:$B$58,$B55,'9.Инвестиционна програма'!F$57:F$58)+SUMIF('9.Инвестиционна програма'!$B$60:$B$67,$B55,'9.Инвестиционна програма'!F$60:F$67))*$E$5</f>
        <v>4</v>
      </c>
      <c r="AB55" s="954">
        <f>(SUMIF('9.Инвестиционна програма'!$B$57:$B$58,$B55,'9.Инвестиционна програма'!G$57:G$58)+SUMIF('9.Инвестиционна програма'!$B$60:$B$67,$B55,'9.Инвестиционна програма'!G$60:G$67))*$E$5</f>
        <v>10</v>
      </c>
      <c r="AC55" s="954">
        <f>(SUMIF('9.Инвестиционна програма'!$B$57:$B$58,$B55,'9.Инвестиционна програма'!H$57:H$58)+SUMIF('9.Инвестиционна програма'!$B$60:$B$67,$B55,'9.Инвестиционна програма'!H$60:H$67))*$E$5</f>
        <v>10</v>
      </c>
      <c r="AD55" s="954">
        <f>(SUMIF('9.Инвестиционна програма'!$B$57:$B$58,$B55,'9.Инвестиционна програма'!I$57:I$58)+SUMIF('9.Инвестиционна програма'!$B$60:$B$67,$B55,'9.Инвестиционна програма'!I$60:I$67))*$E$5</f>
        <v>10</v>
      </c>
      <c r="AE55" s="954">
        <f>(SUMIF('9.Инвестиционна програма'!$B$57:$B$58,$B55,'9.Инвестиционна програма'!J$57:J$58)+SUMIF('9.Инвестиционна програма'!$B$60:$B$67,$B55,'9.Инвестиционна програма'!J$60:J$67))*$E$5</f>
        <v>10</v>
      </c>
      <c r="AF55" s="957">
        <f>(SUMIF('9.Инвестиционна програма'!$B$57:$B$58,$B55,'9.Инвестиционна програма'!K$57:K$58)+SUMIF('9.Инвестиционна програма'!$B$60:$B$67,$B55,'9.Инвестиционна програма'!K$60:K$67))*$E$5</f>
        <v>10</v>
      </c>
      <c r="AG55" s="307"/>
      <c r="AH55" s="565"/>
    </row>
    <row r="56" spans="1:34" s="262" customFormat="1">
      <c r="A56" s="937">
        <v>10</v>
      </c>
      <c r="B56" s="1818">
        <v>213</v>
      </c>
      <c r="C56" s="1819">
        <v>0.2</v>
      </c>
      <c r="D56" s="1811" t="s">
        <v>278</v>
      </c>
      <c r="E56" s="925">
        <f>'11.2. Нови активи отч.год.'!E57</f>
        <v>0</v>
      </c>
      <c r="F56" s="953">
        <f>SUMIF('9.Инвестиционна програма'!$B$11:$B$34,$B56,'9.Инвестиционна програма'!F$11:F$34)*$E$5</f>
        <v>0</v>
      </c>
      <c r="G56" s="954">
        <f>SUMIF('9.Инвестиционна програма'!$B$11:$B$34,$B56,'9.Инвестиционна програма'!G$11:G$34)*$E$5</f>
        <v>0</v>
      </c>
      <c r="H56" s="954">
        <f>SUMIF('9.Инвестиционна програма'!$B$11:$B$34,$B56,'9.Инвестиционна програма'!H$11:H$34)*$E$5</f>
        <v>0</v>
      </c>
      <c r="I56" s="954">
        <f>SUMIF('9.Инвестиционна програма'!$B$11:$B$34,$B56,'9.Инвестиционна програма'!I$11:I$34)*$E$5</f>
        <v>0</v>
      </c>
      <c r="J56" s="954">
        <f>SUMIF('9.Инвестиционна програма'!$B$11:$B$34,$B56,'9.Инвестиционна програма'!J$11:J$34)*$E$5</f>
        <v>0</v>
      </c>
      <c r="K56" s="955">
        <f>SUMIF('9.Инвестиционна програма'!$B$11:$B$34,$B56,'9.Инвестиционна програма'!K$11:K$34)*$E$5</f>
        <v>0</v>
      </c>
      <c r="L56" s="926">
        <f>'11.2. Нови активи отч.год.'!L57</f>
        <v>0</v>
      </c>
      <c r="M56" s="953">
        <f>SUMIF('9.Инвестиционна програма'!$B$36:$B$46,$B56,'9.Инвестиционна програма'!F$36:F$46)*$E$5</f>
        <v>0</v>
      </c>
      <c r="N56" s="954">
        <f>SUMIF('9.Инвестиционна програма'!$B$36:$B$46,$B56,'9.Инвестиционна програма'!G$36:G$46)*$E$5</f>
        <v>0</v>
      </c>
      <c r="O56" s="954">
        <f>SUMIF('9.Инвестиционна програма'!$B$36:$B$46,$B56,'9.Инвестиционна програма'!H$36:H$46)*$E$5</f>
        <v>0</v>
      </c>
      <c r="P56" s="954">
        <f>SUMIF('9.Инвестиционна програма'!$B$36:$B$46,$B56,'9.Инвестиционна програма'!I$36:I$46)*$E$5</f>
        <v>0</v>
      </c>
      <c r="Q56" s="954">
        <f>SUMIF('9.Инвестиционна програма'!$B$36:$B$46,$B56,'9.Инвестиционна програма'!J$36:J$46)*$E$5</f>
        <v>0</v>
      </c>
      <c r="R56" s="957">
        <f>SUMIF('9.Инвестиционна програма'!$B$36:$B$46,$B56,'9.Инвестиционна програма'!K$36:K$46)*$E$5</f>
        <v>0</v>
      </c>
      <c r="S56" s="926">
        <f>'11.2. Нови активи отч.год.'!S57</f>
        <v>0</v>
      </c>
      <c r="T56" s="958">
        <f>SUMIF('9.Инвестиционна програма'!$B$48:$B$55,$B56,'9.Инвестиционна програма'!F$48:F$55)*$E$5</f>
        <v>0</v>
      </c>
      <c r="U56" s="954">
        <f>SUMIF('9.Инвестиционна програма'!$B$48:$B$55,$B56,'9.Инвестиционна програма'!G$48:G$55)*$E$5</f>
        <v>0</v>
      </c>
      <c r="V56" s="954">
        <f>SUMIF('9.Инвестиционна програма'!$B$48:$B$55,$B56,'9.Инвестиционна програма'!H$48:H$55)*$E$5</f>
        <v>0</v>
      </c>
      <c r="W56" s="954">
        <f>SUMIF('9.Инвестиционна програма'!$B$48:$B$55,$B56,'9.Инвестиционна програма'!I$48:I$55)*$E$5</f>
        <v>0</v>
      </c>
      <c r="X56" s="954">
        <f>SUMIF('9.Инвестиционна програма'!$B$48:$B$55,$B56,'9.Инвестиционна програма'!J$48:J$55)*$E$5</f>
        <v>0</v>
      </c>
      <c r="Y56" s="957">
        <f>SUMIF('9.Инвестиционна програма'!$B$48:$B$55,$B56,'9.Инвестиционна програма'!K$48:K$55)*$E$5</f>
        <v>0</v>
      </c>
      <c r="Z56" s="926">
        <f>'11.2. Нови активи отч.год.'!Z57</f>
        <v>0</v>
      </c>
      <c r="AA56" s="958">
        <f>(SUMIF('9.Инвестиционна програма'!$B$57:$B$58,$B56,'9.Инвестиционна програма'!F$57:F$58)+SUMIF('9.Инвестиционна програма'!$B$60:$B$67,$B56,'9.Инвестиционна програма'!F$60:F$67))*$E$5</f>
        <v>0</v>
      </c>
      <c r="AB56" s="954">
        <f>(SUMIF('9.Инвестиционна програма'!$B$57:$B$58,$B56,'9.Инвестиционна програма'!G$57:G$58)+SUMIF('9.Инвестиционна програма'!$B$60:$B$67,$B56,'9.Инвестиционна програма'!G$60:G$67))*$E$5</f>
        <v>0</v>
      </c>
      <c r="AC56" s="954">
        <f>(SUMIF('9.Инвестиционна програма'!$B$57:$B$58,$B56,'9.Инвестиционна програма'!H$57:H$58)+SUMIF('9.Инвестиционна програма'!$B$60:$B$67,$B56,'9.Инвестиционна програма'!H$60:H$67))*$E$5</f>
        <v>0</v>
      </c>
      <c r="AD56" s="954">
        <f>(SUMIF('9.Инвестиционна програма'!$B$57:$B$58,$B56,'9.Инвестиционна програма'!I$57:I$58)+SUMIF('9.Инвестиционна програма'!$B$60:$B$67,$B56,'9.Инвестиционна програма'!I$60:I$67))*$E$5</f>
        <v>0</v>
      </c>
      <c r="AE56" s="954">
        <f>(SUMIF('9.Инвестиционна програма'!$B$57:$B$58,$B56,'9.Инвестиционна програма'!J$57:J$58)+SUMIF('9.Инвестиционна програма'!$B$60:$B$67,$B56,'9.Инвестиционна програма'!J$60:J$67))*$E$5</f>
        <v>0</v>
      </c>
      <c r="AF56" s="957">
        <f>(SUMIF('9.Инвестиционна програма'!$B$57:$B$58,$B56,'9.Инвестиционна програма'!K$57:K$58)+SUMIF('9.Инвестиционна програма'!$B$60:$B$67,$B56,'9.Инвестиционна програма'!K$60:K$67))*$E$5</f>
        <v>0</v>
      </c>
      <c r="AG56" s="307"/>
      <c r="AH56" s="565"/>
    </row>
    <row r="57" spans="1:34" s="262" customFormat="1" ht="24">
      <c r="A57" s="937">
        <v>11</v>
      </c>
      <c r="B57" s="1818">
        <v>215</v>
      </c>
      <c r="C57" s="1819">
        <v>0.2</v>
      </c>
      <c r="D57" s="1811" t="s">
        <v>911</v>
      </c>
      <c r="E57" s="925">
        <f>'11.2. Нови активи отч.год.'!E58</f>
        <v>0</v>
      </c>
      <c r="F57" s="953">
        <f>SUMIF('9.Инвестиционна програма'!$B$11:$B$34,$B57,'9.Инвестиционна програма'!F$11:F$34)*$E$5</f>
        <v>0</v>
      </c>
      <c r="G57" s="954">
        <f>SUMIF('9.Инвестиционна програма'!$B$11:$B$34,$B57,'9.Инвестиционна програма'!G$11:G$34)*$E$5</f>
        <v>0</v>
      </c>
      <c r="H57" s="954">
        <f>SUMIF('9.Инвестиционна програма'!$B$11:$B$34,$B57,'9.Инвестиционна програма'!H$11:H$34)*$E$5</f>
        <v>0</v>
      </c>
      <c r="I57" s="954">
        <f>SUMIF('9.Инвестиционна програма'!$B$11:$B$34,$B57,'9.Инвестиционна програма'!I$11:I$34)*$E$5</f>
        <v>0</v>
      </c>
      <c r="J57" s="954">
        <f>SUMIF('9.Инвестиционна програма'!$B$11:$B$34,$B57,'9.Инвестиционна програма'!J$11:J$34)*$E$5</f>
        <v>0</v>
      </c>
      <c r="K57" s="955">
        <f>SUMIF('9.Инвестиционна програма'!$B$11:$B$34,$B57,'9.Инвестиционна програма'!K$11:K$34)*$E$5</f>
        <v>0</v>
      </c>
      <c r="L57" s="926">
        <f>'11.2. Нови активи отч.год.'!L58</f>
        <v>0</v>
      </c>
      <c r="M57" s="953">
        <f>SUMIF('9.Инвестиционна програма'!$B$36:$B$46,$B57,'9.Инвестиционна програма'!F$36:F$46)*$E$5</f>
        <v>0</v>
      </c>
      <c r="N57" s="954">
        <f>SUMIF('9.Инвестиционна програма'!$B$36:$B$46,$B57,'9.Инвестиционна програма'!G$36:G$46)*$E$5</f>
        <v>0</v>
      </c>
      <c r="O57" s="954">
        <f>SUMIF('9.Инвестиционна програма'!$B$36:$B$46,$B57,'9.Инвестиционна програма'!H$36:H$46)*$E$5</f>
        <v>0</v>
      </c>
      <c r="P57" s="954">
        <f>SUMIF('9.Инвестиционна програма'!$B$36:$B$46,$B57,'9.Инвестиционна програма'!I$36:I$46)*$E$5</f>
        <v>0</v>
      </c>
      <c r="Q57" s="954">
        <f>SUMIF('9.Инвестиционна програма'!$B$36:$B$46,$B57,'9.Инвестиционна програма'!J$36:J$46)*$E$5</f>
        <v>0</v>
      </c>
      <c r="R57" s="957">
        <f>SUMIF('9.Инвестиционна програма'!$B$36:$B$46,$B57,'9.Инвестиционна програма'!K$36:K$46)*$E$5</f>
        <v>0</v>
      </c>
      <c r="S57" s="926">
        <f>'11.2. Нови активи отч.год.'!S58</f>
        <v>0</v>
      </c>
      <c r="T57" s="958">
        <f>SUMIF('9.Инвестиционна програма'!$B$48:$B$55,$B57,'9.Инвестиционна програма'!F$48:F$55)*$E$5</f>
        <v>0</v>
      </c>
      <c r="U57" s="954">
        <f>SUMIF('9.Инвестиционна програма'!$B$48:$B$55,$B57,'9.Инвестиционна програма'!G$48:G$55)*$E$5</f>
        <v>0</v>
      </c>
      <c r="V57" s="954">
        <f>SUMIF('9.Инвестиционна програма'!$B$48:$B$55,$B57,'9.Инвестиционна програма'!H$48:H$55)*$E$5</f>
        <v>0</v>
      </c>
      <c r="W57" s="954">
        <f>SUMIF('9.Инвестиционна програма'!$B$48:$B$55,$B57,'9.Инвестиционна програма'!I$48:I$55)*$E$5</f>
        <v>0</v>
      </c>
      <c r="X57" s="954">
        <f>SUMIF('9.Инвестиционна програма'!$B$48:$B$55,$B57,'9.Инвестиционна програма'!J$48:J$55)*$E$5</f>
        <v>0</v>
      </c>
      <c r="Y57" s="957">
        <f>SUMIF('9.Инвестиционна програма'!$B$48:$B$55,$B57,'9.Инвестиционна програма'!K$48:K$55)*$E$5</f>
        <v>0</v>
      </c>
      <c r="Z57" s="926">
        <f>'11.2. Нови активи отч.год.'!Z58</f>
        <v>0</v>
      </c>
      <c r="AA57" s="958">
        <f>(SUMIF('9.Инвестиционна програма'!$B$57:$B$58,$B57,'9.Инвестиционна програма'!F$57:F$58)+SUMIF('9.Инвестиционна програма'!$B$60:$B$67,$B57,'9.Инвестиционна програма'!F$60:F$67))*$E$5</f>
        <v>0</v>
      </c>
      <c r="AB57" s="954">
        <f>(SUMIF('9.Инвестиционна програма'!$B$57:$B$58,$B57,'9.Инвестиционна програма'!G$57:G$58)+SUMIF('9.Инвестиционна програма'!$B$60:$B$67,$B57,'9.Инвестиционна програма'!G$60:G$67))*$E$5</f>
        <v>0</v>
      </c>
      <c r="AC57" s="954">
        <f>(SUMIF('9.Инвестиционна програма'!$B$57:$B$58,$B57,'9.Инвестиционна програма'!H$57:H$58)+SUMIF('9.Инвестиционна програма'!$B$60:$B$67,$B57,'9.Инвестиционна програма'!H$60:H$67))*$E$5</f>
        <v>0</v>
      </c>
      <c r="AD57" s="954">
        <f>(SUMIF('9.Инвестиционна програма'!$B$57:$B$58,$B57,'9.Инвестиционна програма'!I$57:I$58)+SUMIF('9.Инвестиционна програма'!$B$60:$B$67,$B57,'9.Инвестиционна програма'!I$60:I$67))*$E$5</f>
        <v>0</v>
      </c>
      <c r="AE57" s="954">
        <f>(SUMIF('9.Инвестиционна програма'!$B$57:$B$58,$B57,'9.Инвестиционна програма'!J$57:J$58)+SUMIF('9.Инвестиционна програма'!$B$60:$B$67,$B57,'9.Инвестиционна програма'!J$60:J$67))*$E$5</f>
        <v>0</v>
      </c>
      <c r="AF57" s="957">
        <f>(SUMIF('9.Инвестиционна програма'!$B$57:$B$58,$B57,'9.Инвестиционна програма'!K$57:K$58)+SUMIF('9.Инвестиционна програма'!$B$60:$B$67,$B57,'9.Инвестиционна програма'!K$60:K$67))*$E$5</f>
        <v>0</v>
      </c>
      <c r="AG57" s="307"/>
      <c r="AH57" s="565"/>
    </row>
    <row r="58" spans="1:34" s="262" customFormat="1" ht="13.5" thickBot="1">
      <c r="A58" s="993">
        <v>12</v>
      </c>
      <c r="B58" s="993">
        <v>219</v>
      </c>
      <c r="C58" s="994">
        <v>0.1</v>
      </c>
      <c r="D58" s="995" t="s">
        <v>279</v>
      </c>
      <c r="E58" s="1807">
        <f>'11.2. Нови активи отч.год.'!E59</f>
        <v>10</v>
      </c>
      <c r="F58" s="961">
        <f>SUMIF('9.Инвестиционна програма'!$B$11:$B$34,$B58,'9.Инвестиционна програма'!F$11:F$34)*$E$5</f>
        <v>0</v>
      </c>
      <c r="G58" s="962">
        <f>SUMIF('9.Инвестиционна програма'!$B$11:$B$34,$B58,'9.Инвестиционна програма'!G$11:G$34)*$E$5</f>
        <v>0</v>
      </c>
      <c r="H58" s="962">
        <f>SUMIF('9.Инвестиционна програма'!$B$11:$B$34,$B58,'9.Инвестиционна програма'!H$11:H$34)*$E$5</f>
        <v>0</v>
      </c>
      <c r="I58" s="962">
        <f>SUMIF('9.Инвестиционна програма'!$B$11:$B$34,$B58,'9.Инвестиционна програма'!I$11:I$34)*$E$5</f>
        <v>0</v>
      </c>
      <c r="J58" s="962">
        <f>SUMIF('9.Инвестиционна програма'!$B$11:$B$34,$B58,'9.Инвестиционна програма'!J$11:J$34)*$E$5</f>
        <v>0</v>
      </c>
      <c r="K58" s="963">
        <f>SUMIF('9.Инвестиционна програма'!$B$11:$B$34,$B58,'9.Инвестиционна програма'!K$11:K$34)*$E$5</f>
        <v>0</v>
      </c>
      <c r="L58" s="964">
        <f>'11.2. Нови активи отч.год.'!L59</f>
        <v>0</v>
      </c>
      <c r="M58" s="961">
        <f>SUMIF('9.Инвестиционна програма'!$B$36:$B$46,$B58,'9.Инвестиционна програма'!F$36:F$46)*$E$5</f>
        <v>0</v>
      </c>
      <c r="N58" s="962">
        <f>SUMIF('9.Инвестиционна програма'!$B$36:$B$46,$B58,'9.Инвестиционна програма'!G$36:G$46)*$E$5</f>
        <v>0</v>
      </c>
      <c r="O58" s="962">
        <f>SUMIF('9.Инвестиционна програма'!$B$36:$B$46,$B58,'9.Инвестиционна програма'!H$36:H$46)*$E$5</f>
        <v>0</v>
      </c>
      <c r="P58" s="962">
        <f>SUMIF('9.Инвестиционна програма'!$B$36:$B$46,$B58,'9.Инвестиционна програма'!I$36:I$46)*$E$5</f>
        <v>0</v>
      </c>
      <c r="Q58" s="962">
        <f>SUMIF('9.Инвестиционна програма'!$B$36:$B$46,$B58,'9.Инвестиционна програма'!J$36:J$46)*$E$5</f>
        <v>0</v>
      </c>
      <c r="R58" s="965">
        <f>SUMIF('9.Инвестиционна програма'!$B$36:$B$46,$B58,'9.Инвестиционна програма'!K$36:K$46)*$E$5</f>
        <v>0</v>
      </c>
      <c r="S58" s="964">
        <f>'11.2. Нови активи отч.год.'!S59</f>
        <v>0</v>
      </c>
      <c r="T58" s="966">
        <f>SUMIF('9.Инвестиционна програма'!$B$48:$B$55,$B58,'9.Инвестиционна програма'!F$48:F$55)*$E$5</f>
        <v>0</v>
      </c>
      <c r="U58" s="962">
        <f>SUMIF('9.Инвестиционна програма'!$B$48:$B$55,$B58,'9.Инвестиционна програма'!G$48:G$55)*$E$5</f>
        <v>0</v>
      </c>
      <c r="V58" s="962">
        <f>SUMIF('9.Инвестиционна програма'!$B$48:$B$55,$B58,'9.Инвестиционна програма'!H$48:H$55)*$E$5</f>
        <v>0</v>
      </c>
      <c r="W58" s="962">
        <f>SUMIF('9.Инвестиционна програма'!$B$48:$B$55,$B58,'9.Инвестиционна програма'!I$48:I$55)*$E$5</f>
        <v>0</v>
      </c>
      <c r="X58" s="962">
        <f>SUMIF('9.Инвестиционна програма'!$B$48:$B$55,$B58,'9.Инвестиционна програма'!J$48:J$55)*$E$5</f>
        <v>0</v>
      </c>
      <c r="Y58" s="965">
        <f>SUMIF('9.Инвестиционна програма'!$B$48:$B$55,$B58,'9.Инвестиционна програма'!K$48:K$55)*$E$5</f>
        <v>0</v>
      </c>
      <c r="Z58" s="964">
        <f>'11.2. Нови активи отч.год.'!Z59</f>
        <v>10</v>
      </c>
      <c r="AA58" s="966">
        <f>(SUMIF('9.Инвестиционна програма'!$B$57:$B$58,$B58,'9.Инвестиционна програма'!F$57:F$58)+SUMIF('9.Инвестиционна програма'!$B$60:$B$67,$B58,'9.Инвестиционна програма'!F$60:F$67))*$E$5</f>
        <v>0</v>
      </c>
      <c r="AB58" s="962">
        <f>(SUMIF('9.Инвестиционна програма'!$B$57:$B$58,$B58,'9.Инвестиционна програма'!G$57:G$58)+SUMIF('9.Инвестиционна програма'!$B$60:$B$67,$B58,'9.Инвестиционна програма'!G$60:G$67))*$E$5</f>
        <v>0</v>
      </c>
      <c r="AC58" s="962">
        <f>(SUMIF('9.Инвестиционна програма'!$B$57:$B$58,$B58,'9.Инвестиционна програма'!H$57:H$58)+SUMIF('9.Инвестиционна програма'!$B$60:$B$67,$B58,'9.Инвестиционна програма'!H$60:H$67))*$E$5</f>
        <v>0</v>
      </c>
      <c r="AD58" s="962">
        <f>(SUMIF('9.Инвестиционна програма'!$B$57:$B$58,$B58,'9.Инвестиционна програма'!I$57:I$58)+SUMIF('9.Инвестиционна програма'!$B$60:$B$67,$B58,'9.Инвестиционна програма'!I$60:I$67))*$E$5</f>
        <v>0</v>
      </c>
      <c r="AE58" s="962">
        <f>(SUMIF('9.Инвестиционна програма'!$B$57:$B$58,$B58,'9.Инвестиционна програма'!J$57:J$58)+SUMIF('9.Инвестиционна програма'!$B$60:$B$67,$B58,'9.Инвестиционна програма'!J$60:J$67))*$E$5</f>
        <v>0</v>
      </c>
      <c r="AF58" s="965">
        <f>(SUMIF('9.Инвестиционна програма'!$B$57:$B$58,$B58,'9.Инвестиционна програма'!K$57:K$58)+SUMIF('9.Инвестиционна програма'!$B$60:$B$67,$B58,'9.Инвестиционна програма'!K$60:K$67))*$E$5</f>
        <v>0</v>
      </c>
      <c r="AG58" s="307"/>
      <c r="AH58" s="565"/>
    </row>
    <row r="59" spans="1:34" s="298" customFormat="1" ht="15" thickBot="1">
      <c r="A59" s="1620" t="s">
        <v>269</v>
      </c>
      <c r="B59" s="247"/>
      <c r="C59" s="247"/>
      <c r="D59" s="246" t="s">
        <v>281</v>
      </c>
      <c r="E59" s="916">
        <f t="shared" ref="E59:AF59" si="18">E60+E63+E66+E78+E93+E98+SUM(E102:E107)</f>
        <v>18.739999999999998</v>
      </c>
      <c r="F59" s="917">
        <f t="shared" si="18"/>
        <v>102.59</v>
      </c>
      <c r="G59" s="243">
        <f t="shared" si="18"/>
        <v>228.32999999999998</v>
      </c>
      <c r="H59" s="243">
        <f t="shared" si="18"/>
        <v>274.38</v>
      </c>
      <c r="I59" s="243">
        <f t="shared" si="18"/>
        <v>318.97999999999996</v>
      </c>
      <c r="J59" s="243">
        <f t="shared" si="18"/>
        <v>358.18</v>
      </c>
      <c r="K59" s="967">
        <f t="shared" si="18"/>
        <v>393.08</v>
      </c>
      <c r="L59" s="650">
        <f t="shared" si="18"/>
        <v>0</v>
      </c>
      <c r="M59" s="917">
        <f t="shared" si="18"/>
        <v>0.55000000000000004</v>
      </c>
      <c r="N59" s="243">
        <f t="shared" si="18"/>
        <v>82.53</v>
      </c>
      <c r="O59" s="243">
        <f t="shared" si="18"/>
        <v>164.34</v>
      </c>
      <c r="P59" s="243">
        <f t="shared" si="18"/>
        <v>165.44</v>
      </c>
      <c r="Q59" s="243">
        <f t="shared" si="18"/>
        <v>166.77</v>
      </c>
      <c r="R59" s="244">
        <f t="shared" si="18"/>
        <v>167.81</v>
      </c>
      <c r="S59" s="650">
        <f t="shared" si="18"/>
        <v>0</v>
      </c>
      <c r="T59" s="242">
        <f t="shared" si="18"/>
        <v>1.5</v>
      </c>
      <c r="U59" s="243">
        <f t="shared" si="18"/>
        <v>4.78</v>
      </c>
      <c r="V59" s="243">
        <f t="shared" si="18"/>
        <v>25.240000000000002</v>
      </c>
      <c r="W59" s="243">
        <f t="shared" si="18"/>
        <v>45.84</v>
      </c>
      <c r="X59" s="243">
        <f t="shared" si="18"/>
        <v>49.379999999999995</v>
      </c>
      <c r="Y59" s="244">
        <f t="shared" si="18"/>
        <v>52.82</v>
      </c>
      <c r="Z59" s="650">
        <f t="shared" si="18"/>
        <v>18.739999999999998</v>
      </c>
      <c r="AA59" s="242">
        <f t="shared" si="18"/>
        <v>9.8250000000000011</v>
      </c>
      <c r="AB59" s="243">
        <f t="shared" si="18"/>
        <v>26.900000000000002</v>
      </c>
      <c r="AC59" s="243">
        <f t="shared" si="18"/>
        <v>41.149999999999991</v>
      </c>
      <c r="AD59" s="243">
        <f t="shared" si="18"/>
        <v>54.899999999999991</v>
      </c>
      <c r="AE59" s="243">
        <f t="shared" si="18"/>
        <v>68.899999999999991</v>
      </c>
      <c r="AF59" s="244">
        <f t="shared" si="18"/>
        <v>83.899999999999991</v>
      </c>
      <c r="AG59" s="307"/>
      <c r="AH59" s="568"/>
    </row>
    <row r="60" spans="1:34" s="262" customFormat="1">
      <c r="A60" s="918">
        <v>1</v>
      </c>
      <c r="B60" s="918">
        <v>201</v>
      </c>
      <c r="C60" s="919">
        <v>0</v>
      </c>
      <c r="D60" s="920" t="s">
        <v>280</v>
      </c>
      <c r="E60" s="921">
        <f>SUM(E61:E62)</f>
        <v>0</v>
      </c>
      <c r="F60" s="968">
        <f>SUM(F61:F62)</f>
        <v>0</v>
      </c>
      <c r="G60" s="969">
        <f t="shared" ref="G60:J60" si="19">SUM(G61:G62)</f>
        <v>0</v>
      </c>
      <c r="H60" s="969">
        <f t="shared" si="19"/>
        <v>0</v>
      </c>
      <c r="I60" s="969">
        <f t="shared" si="19"/>
        <v>0</v>
      </c>
      <c r="J60" s="969">
        <f t="shared" si="19"/>
        <v>0</v>
      </c>
      <c r="K60" s="970">
        <f>SUM(K61:K62)</f>
        <v>0</v>
      </c>
      <c r="L60" s="971">
        <f>SUM(L61:L62)</f>
        <v>0</v>
      </c>
      <c r="M60" s="968">
        <f>SUM(M61:M62)</f>
        <v>0</v>
      </c>
      <c r="N60" s="969">
        <f t="shared" ref="N60:Q60" si="20">SUM(N61:N62)</f>
        <v>0</v>
      </c>
      <c r="O60" s="969">
        <f t="shared" si="20"/>
        <v>0</v>
      </c>
      <c r="P60" s="969">
        <f t="shared" si="20"/>
        <v>0</v>
      </c>
      <c r="Q60" s="969">
        <f t="shared" si="20"/>
        <v>0</v>
      </c>
      <c r="R60" s="972">
        <f>SUM(R61:R62)</f>
        <v>0</v>
      </c>
      <c r="S60" s="971">
        <f>SUM(S61:S62)</f>
        <v>0</v>
      </c>
      <c r="T60" s="2913">
        <f>SUM(T61:T62)</f>
        <v>0</v>
      </c>
      <c r="U60" s="969">
        <f t="shared" ref="U60:X60" si="21">SUM(U61:U62)</f>
        <v>0</v>
      </c>
      <c r="V60" s="969">
        <f t="shared" si="21"/>
        <v>0</v>
      </c>
      <c r="W60" s="969">
        <f t="shared" si="21"/>
        <v>0</v>
      </c>
      <c r="X60" s="969">
        <f t="shared" si="21"/>
        <v>0</v>
      </c>
      <c r="Y60" s="972">
        <f>SUM(Y61:Y62)</f>
        <v>0</v>
      </c>
      <c r="Z60" s="971">
        <f>SUM(Z61:Z62)</f>
        <v>0</v>
      </c>
      <c r="AA60" s="968">
        <f>SUM(AA61:AA62)</f>
        <v>0</v>
      </c>
      <c r="AB60" s="969">
        <f t="shared" ref="AB60:AE60" si="22">SUM(AB61:AB62)</f>
        <v>0</v>
      </c>
      <c r="AC60" s="969">
        <f t="shared" si="22"/>
        <v>0</v>
      </c>
      <c r="AD60" s="969">
        <f t="shared" si="22"/>
        <v>0</v>
      </c>
      <c r="AE60" s="969">
        <f t="shared" si="22"/>
        <v>0</v>
      </c>
      <c r="AF60" s="972">
        <f>SUM(AF61:AF62)</f>
        <v>0</v>
      </c>
      <c r="AG60" s="639"/>
      <c r="AH60" s="565"/>
    </row>
    <row r="61" spans="1:34" s="294" customFormat="1">
      <c r="A61" s="279"/>
      <c r="B61" s="279">
        <v>20101</v>
      </c>
      <c r="C61" s="877">
        <v>0</v>
      </c>
      <c r="D61" s="265" t="s">
        <v>758</v>
      </c>
      <c r="E61" s="925">
        <f>'11.2. Нови активи отч.год.'!E62</f>
        <v>0</v>
      </c>
      <c r="F61" s="893">
        <f>($F12*$C61)/$E$6</f>
        <v>0</v>
      </c>
      <c r="G61" s="894">
        <f>($F12*$C61)+($G12*$C61)/$E$6</f>
        <v>0</v>
      </c>
      <c r="H61" s="894">
        <f>($F12*$C61)+($G12*$C61)+($H12*$C61)/$E$6</f>
        <v>0</v>
      </c>
      <c r="I61" s="894">
        <f>($F12*$C61)+($G12*$C61)+($H12*$C61)+($I12*$C61)/$E$6</f>
        <v>0</v>
      </c>
      <c r="J61" s="894">
        <f>($F12*$C61)+($G12*$C61)+($H12*$C61)+($I12*$C61)+($J12*$C61)/$E$6</f>
        <v>0</v>
      </c>
      <c r="K61" s="973">
        <f>($F12*$C61)+($G12*$C61)+($H12*$C61)+($I12*$C61)+($J12*$C61)+($K12*$C61)/$E$6</f>
        <v>0</v>
      </c>
      <c r="L61" s="925">
        <f>'11.2. Нови активи отч.год.'!L62</f>
        <v>0</v>
      </c>
      <c r="M61" s="893">
        <f>($M12*$C61)/$E$6</f>
        <v>0</v>
      </c>
      <c r="N61" s="894">
        <f>($M12*$C61)+($N12*$C61)/$E$6</f>
        <v>0</v>
      </c>
      <c r="O61" s="894">
        <f>($M12*$C61)+($N12*$C61)+($O12*$C61)/$E$6</f>
        <v>0</v>
      </c>
      <c r="P61" s="894">
        <f>($M12*$C61)+($N12*$C61)+($O12*$C61)+($P12*$C61)/$E$6</f>
        <v>0</v>
      </c>
      <c r="Q61" s="973">
        <f>($M12*$C61)+($N12*$C61)+($O12*$C61)+($P12*$C61)+($Q12*$C61)/$E$6</f>
        <v>0</v>
      </c>
      <c r="R61" s="895">
        <f>($M12*$C61)+($N12*$C61)+($O12*$C61)+($P12*$C61)+($Q12*$C61)+($R12*$C61)/$E$6</f>
        <v>0</v>
      </c>
      <c r="S61" s="1732">
        <f>'11.2. Нови активи отч.год.'!S62</f>
        <v>0</v>
      </c>
      <c r="T61" s="2914">
        <f>($T12*$C61)/$E$6</f>
        <v>0</v>
      </c>
      <c r="U61" s="894">
        <f>($T12*$C61)+($U12*$C61)/$E$6</f>
        <v>0</v>
      </c>
      <c r="V61" s="894">
        <f>($T12*$C61)+($U12*$C61)+($V12*$C61)/$E$6</f>
        <v>0</v>
      </c>
      <c r="W61" s="894">
        <f>($T12*$C61)+($U12*$C61)+($V12*$C61)+($W12*$C61)/$E$6</f>
        <v>0</v>
      </c>
      <c r="X61" s="894">
        <f>($T12*$C61)+($U12*$C61)+($V12*$C61)+($W12*$C61)+($X12*$C61)/$E$6</f>
        <v>0</v>
      </c>
      <c r="Y61" s="973">
        <f>($T12*$C61)+($U12*$C61)+($V12*$C61)+($W12*$C61)+($X12*$C61)+($Y12*$C61)/$E$6</f>
        <v>0</v>
      </c>
      <c r="Z61" s="925">
        <f>'11.2. Нови активи отч.год.'!Z62</f>
        <v>0</v>
      </c>
      <c r="AA61" s="893">
        <f>($AA12*$C61)/$E$6</f>
        <v>0</v>
      </c>
      <c r="AB61" s="894">
        <f>($AA12*$C61)+($AB12*$C61)/$E$6</f>
        <v>0</v>
      </c>
      <c r="AC61" s="894">
        <f>($AA12*$C61)+($AB12*$C61)+($AC12*$C61)/$E$6</f>
        <v>0</v>
      </c>
      <c r="AD61" s="894">
        <f>($AA12*$C61)+($AB12*$C61)+($AC12*$C61)+($AD12*$C61)/$E$6</f>
        <v>0</v>
      </c>
      <c r="AE61" s="894">
        <f>($AA12*$C61)+($AB12*$C61)+($AC12*$C61)+($AD12*$C61)+($AE12*$C61)/$E$6</f>
        <v>0</v>
      </c>
      <c r="AF61" s="895">
        <f>($AA12*$C61)+($AB12*$C61)+($AC12*$C61)+($AD12*$C61)+($AE12*$C61)+($AF12*$C61)/$E$6</f>
        <v>0</v>
      </c>
      <c r="AG61" s="640"/>
      <c r="AH61" s="566"/>
    </row>
    <row r="62" spans="1:34" s="294" customFormat="1">
      <c r="A62" s="279"/>
      <c r="B62" s="279">
        <v>20102</v>
      </c>
      <c r="C62" s="877">
        <v>0</v>
      </c>
      <c r="D62" s="280" t="s">
        <v>760</v>
      </c>
      <c r="E62" s="925">
        <f>'11.2. Нови активи отч.год.'!E63</f>
        <v>0</v>
      </c>
      <c r="F62" s="893">
        <f>($F13*$C62)/$E$6</f>
        <v>0</v>
      </c>
      <c r="G62" s="894">
        <f>($F13*$C62)+($G13*$C62)/$E$6</f>
        <v>0</v>
      </c>
      <c r="H62" s="894">
        <f>($F13*$C62)+($G13*$C62)+($H13*$C62)/$E$6</f>
        <v>0</v>
      </c>
      <c r="I62" s="894">
        <f>($F13*$C62)+($G13*$C62)+($H13*$C62)+($I13*$C62)/$E$6</f>
        <v>0</v>
      </c>
      <c r="J62" s="894">
        <f>($F13*$C62)+($G13*$C62)+($H13*$C62)+($I13*$C62)+($J13*$C62)/$E$6</f>
        <v>0</v>
      </c>
      <c r="K62" s="973">
        <f>($F13*$C62)+($G13*$C62)+($H13*$C62)+($I13*$C62)+($J13*$C62)+($K13*$C62)/$E$6</f>
        <v>0</v>
      </c>
      <c r="L62" s="925">
        <f>'11.2. Нови активи отч.год.'!L63</f>
        <v>0</v>
      </c>
      <c r="M62" s="893">
        <f>($M13*$C62)/$E$6</f>
        <v>0</v>
      </c>
      <c r="N62" s="894">
        <f>($M13*$C62)+($N13*$C62)/$E$6</f>
        <v>0</v>
      </c>
      <c r="O62" s="894">
        <f>($M13*$C62)+($N13*$C62)+($O13*$C62)/$E$6</f>
        <v>0</v>
      </c>
      <c r="P62" s="894">
        <f>($M13*$C62)+($N13*$C62)+($O13*$C62)+($P13*$C62)/$E$6</f>
        <v>0</v>
      </c>
      <c r="Q62" s="973">
        <f>($M13*$C62)+($N13*$C62)+($O13*$C62)+($P13*$C62)+($Q13*$C62)/$E$6</f>
        <v>0</v>
      </c>
      <c r="R62" s="895">
        <f>($M13*$C62)+($N13*$C62)+($O13*$C62)+($P13*$C62)+($Q13*$C62)+($R13*$C62)/$E$6</f>
        <v>0</v>
      </c>
      <c r="S62" s="1732">
        <f>'11.2. Нови активи отч.год.'!S63</f>
        <v>0</v>
      </c>
      <c r="T62" s="2914">
        <f>($T13*$C62)/$E$6</f>
        <v>0</v>
      </c>
      <c r="U62" s="894">
        <f>($T13*$C62)+($U13*$C62)/$E$6</f>
        <v>0</v>
      </c>
      <c r="V62" s="894">
        <f>($T13*$C62)+($U13*$C62)+($V13*$C62)/$E$6</f>
        <v>0</v>
      </c>
      <c r="W62" s="894">
        <f>($T13*$C62)+($U13*$C62)+($V13*$C62)+($W13*$C62)/$E$6</f>
        <v>0</v>
      </c>
      <c r="X62" s="894">
        <f>($T13*$C62)+($U13*$C62)+($V13*$C62)+($W13*$C62)+($X13*$C62)/$E$6</f>
        <v>0</v>
      </c>
      <c r="Y62" s="973">
        <f>($T13*$C62)+($U13*$C62)+($V13*$C62)+($W13*$C62)+($X13*$C62)+($Y13*$C62)/$E$6</f>
        <v>0</v>
      </c>
      <c r="Z62" s="925">
        <f>'11.2. Нови активи отч.год.'!Z63</f>
        <v>0</v>
      </c>
      <c r="AA62" s="893">
        <f>($AA13*$C62)/$E$6</f>
        <v>0</v>
      </c>
      <c r="AB62" s="894">
        <f>($AA13*$C62)+($AB13*$C62)/$E$6</f>
        <v>0</v>
      </c>
      <c r="AC62" s="894">
        <f>($AA13*$C62)+($AB13*$C62)+($AC13*$C62)/$E$6</f>
        <v>0</v>
      </c>
      <c r="AD62" s="894">
        <f>($AA13*$C62)+($AB13*$C62)+($AC13*$C62)+($AD13*$C62)/$E$6</f>
        <v>0</v>
      </c>
      <c r="AE62" s="894">
        <f>($AA13*$C62)+($AB13*$C62)+($AC13*$C62)+($AD13*$C62)+($AE13*$C62)/$E$6</f>
        <v>0</v>
      </c>
      <c r="AF62" s="895">
        <f>($AA13*$C62)+($AB13*$C62)+($AC13*$C62)+($AD13*$C62)+($AE13*$C62)+($AF13*$C62)/$E$6</f>
        <v>0</v>
      </c>
      <c r="AG62" s="641"/>
      <c r="AH62" s="566"/>
    </row>
    <row r="63" spans="1:34" s="262" customFormat="1">
      <c r="A63" s="934">
        <v>2</v>
      </c>
      <c r="B63" s="934">
        <v>202</v>
      </c>
      <c r="C63" s="935">
        <v>0.03</v>
      </c>
      <c r="D63" s="936" t="s">
        <v>576</v>
      </c>
      <c r="E63" s="959">
        <f>SUM(E64:E65)</f>
        <v>0.2</v>
      </c>
      <c r="F63" s="974">
        <f>SUM(F64:F65)</f>
        <v>0</v>
      </c>
      <c r="G63" s="975">
        <f t="shared" ref="G63:AF63" si="23">SUM(G64:G65)</f>
        <v>0.3</v>
      </c>
      <c r="H63" s="975">
        <f t="shared" si="23"/>
        <v>0.75</v>
      </c>
      <c r="I63" s="975">
        <f t="shared" si="23"/>
        <v>1.0499999999999998</v>
      </c>
      <c r="J63" s="975">
        <f t="shared" si="23"/>
        <v>1.3499999999999999</v>
      </c>
      <c r="K63" s="976">
        <f t="shared" si="23"/>
        <v>1.65</v>
      </c>
      <c r="L63" s="977">
        <f t="shared" si="23"/>
        <v>0</v>
      </c>
      <c r="M63" s="974">
        <f t="shared" si="23"/>
        <v>0</v>
      </c>
      <c r="N63" s="975">
        <f t="shared" si="23"/>
        <v>0</v>
      </c>
      <c r="O63" s="975">
        <f t="shared" si="23"/>
        <v>0</v>
      </c>
      <c r="P63" s="975">
        <f t="shared" si="23"/>
        <v>0</v>
      </c>
      <c r="Q63" s="975">
        <f t="shared" si="23"/>
        <v>0</v>
      </c>
      <c r="R63" s="978">
        <f t="shared" si="23"/>
        <v>0</v>
      </c>
      <c r="S63" s="977">
        <f t="shared" si="23"/>
        <v>0</v>
      </c>
      <c r="T63" s="979">
        <f t="shared" si="23"/>
        <v>0</v>
      </c>
      <c r="U63" s="975">
        <f t="shared" si="23"/>
        <v>0</v>
      </c>
      <c r="V63" s="975">
        <f t="shared" si="23"/>
        <v>0</v>
      </c>
      <c r="W63" s="975">
        <f t="shared" si="23"/>
        <v>0</v>
      </c>
      <c r="X63" s="975">
        <f t="shared" si="23"/>
        <v>0</v>
      </c>
      <c r="Y63" s="978">
        <f t="shared" si="23"/>
        <v>0</v>
      </c>
      <c r="Z63" s="977">
        <f t="shared" si="23"/>
        <v>0.2</v>
      </c>
      <c r="AA63" s="979">
        <f t="shared" si="23"/>
        <v>5.0249999999999995</v>
      </c>
      <c r="AB63" s="975">
        <f t="shared" si="23"/>
        <v>12.299999999999999</v>
      </c>
      <c r="AC63" s="975">
        <f t="shared" si="23"/>
        <v>16.799999999999997</v>
      </c>
      <c r="AD63" s="975">
        <f t="shared" si="23"/>
        <v>21.299999999999997</v>
      </c>
      <c r="AE63" s="975">
        <f t="shared" si="23"/>
        <v>25.799999999999997</v>
      </c>
      <c r="AF63" s="978">
        <f t="shared" si="23"/>
        <v>30.299999999999997</v>
      </c>
      <c r="AG63" s="642"/>
      <c r="AH63" s="565"/>
    </row>
    <row r="64" spans="1:34">
      <c r="A64" s="278"/>
      <c r="B64" s="278">
        <v>20201</v>
      </c>
      <c r="C64" s="283">
        <v>0.03</v>
      </c>
      <c r="D64" s="281" t="s">
        <v>597</v>
      </c>
      <c r="E64" s="925">
        <f>'11.2. Нови активи отч.год.'!E65</f>
        <v>0</v>
      </c>
      <c r="F64" s="893">
        <f>($F15*$C64)/$E$6</f>
        <v>0</v>
      </c>
      <c r="G64" s="894">
        <f>($F15*$C64)+($G15*$C64)/$E$6</f>
        <v>0</v>
      </c>
      <c r="H64" s="894">
        <f>($F15*$C64)+($G15*$C64)+($H15*$C64)/$E$6</f>
        <v>0</v>
      </c>
      <c r="I64" s="894">
        <f>($F15*$C64)+($G15*$C64)+($H15*$C64)+($I15*$C64)/$E$6</f>
        <v>0</v>
      </c>
      <c r="J64" s="894">
        <f>($F15*$C64)+($G15*$C64)+($H15*$C64)+($I15*$C64)+($J15*$C64)/$E$6</f>
        <v>0</v>
      </c>
      <c r="K64" s="973">
        <f>($F15*$C64)+($G15*$C64)+($H15*$C64)+($I15*$C64)+($J15*$C64)+($K15*$C64)/$E$6</f>
        <v>0</v>
      </c>
      <c r="L64" s="925">
        <f>'11.2. Нови активи отч.год.'!L65</f>
        <v>0</v>
      </c>
      <c r="M64" s="893">
        <f>($M15*$C64)/$E$6</f>
        <v>0</v>
      </c>
      <c r="N64" s="894">
        <f>($M15*$C64)+($N15*$C64)/$E$6</f>
        <v>0</v>
      </c>
      <c r="O64" s="894">
        <f>($M15*$C64)+($N15*$C64)+($O15*$C64)/$E$6</f>
        <v>0</v>
      </c>
      <c r="P64" s="894">
        <f>($M15*$C64)+($N15*$C64)+($O15*$C64)+($P15*$C64)/$E$6</f>
        <v>0</v>
      </c>
      <c r="Q64" s="973">
        <f>($M15*$C64)+($N15*$C64)+($O15*$C64)+($P15*$C64)+($Q15*$C64)/$E$6</f>
        <v>0</v>
      </c>
      <c r="R64" s="895">
        <f>($M15*$C64)+($N15*$C64)+($O15*$C64)+($P15*$C64)+($Q15*$C64)+($R15*$C64)/$E$6</f>
        <v>0</v>
      </c>
      <c r="S64" s="1732">
        <f>'11.2. Нови активи отч.год.'!S65</f>
        <v>0</v>
      </c>
      <c r="T64" s="2914">
        <f>($T15*$C64)/$E$6</f>
        <v>0</v>
      </c>
      <c r="U64" s="894">
        <f>($T15*$C64)+($U15*$C64)/$E$6</f>
        <v>0</v>
      </c>
      <c r="V64" s="894">
        <f>($T15*$C64)+($U15*$C64)+($V15*$C64)/$E$6</f>
        <v>0</v>
      </c>
      <c r="W64" s="894">
        <f>($T15*$C64)+($U15*$C64)+($V15*$C64)+($W15*$C64)/$E$6</f>
        <v>0</v>
      </c>
      <c r="X64" s="894">
        <f>($T15*$C64)+($U15*$C64)+($V15*$C64)+($W15*$C64)+($X15*$C64)/$E$6</f>
        <v>0</v>
      </c>
      <c r="Y64" s="973">
        <f>($T15*$C64)+($U15*$C64)+($V15*$C64)+($W15*$C64)+($X15*$C64)+($Y15*$C64)/$E$6</f>
        <v>0</v>
      </c>
      <c r="Z64" s="925">
        <f>'11.2. Нови активи отч.год.'!Z65</f>
        <v>0</v>
      </c>
      <c r="AA64" s="893">
        <f>($AA15*$C64)/$E$6</f>
        <v>5.0249999999999995</v>
      </c>
      <c r="AB64" s="894">
        <f>($AA15*$C64)+($AB15*$C64)/$E$6</f>
        <v>12.299999999999999</v>
      </c>
      <c r="AC64" s="894">
        <f>($AA15*$C64)+($AB15*$C64)+($AC15*$C64)/$E$6</f>
        <v>16.799999999999997</v>
      </c>
      <c r="AD64" s="894">
        <f>($AA15*$C64)+($AB15*$C64)+($AC15*$C64)+($AD15*$C64)/$E$6</f>
        <v>21.299999999999997</v>
      </c>
      <c r="AE64" s="894">
        <f>($AA15*$C64)+($AB15*$C64)+($AC15*$C64)+($AD15*$C64)+($AE15*$C64)/$E$6</f>
        <v>25.799999999999997</v>
      </c>
      <c r="AF64" s="895">
        <f>($AA15*$C64)+($AB15*$C64)+($AC15*$C64)+($AD15*$C64)+($AE15*$C64)+($AF15*$C64)/$E$6</f>
        <v>30.299999999999997</v>
      </c>
      <c r="AG64" s="641"/>
      <c r="AH64" s="566"/>
    </row>
    <row r="65" spans="1:34">
      <c r="A65" s="278"/>
      <c r="B65" s="278">
        <v>20202</v>
      </c>
      <c r="C65" s="283">
        <v>0.03</v>
      </c>
      <c r="D65" s="281" t="s">
        <v>598</v>
      </c>
      <c r="E65" s="925">
        <f>'11.2. Нови активи отч.год.'!E66</f>
        <v>0.2</v>
      </c>
      <c r="F65" s="893">
        <f>($F16*$C65)/$E$6</f>
        <v>0</v>
      </c>
      <c r="G65" s="894">
        <f>($F16*$C65)+($G16*$C65)/$E$6</f>
        <v>0.3</v>
      </c>
      <c r="H65" s="894">
        <f>($F16*$C65)+($G16*$C65)+($H16*$C65)/$E$6</f>
        <v>0.75</v>
      </c>
      <c r="I65" s="894">
        <f>($F16*$C65)+($G16*$C65)+($H16*$C65)+($I16*$C65)/$E$6</f>
        <v>1.0499999999999998</v>
      </c>
      <c r="J65" s="894">
        <f>($F16*$C65)+($G16*$C65)+($H16*$C65)+($I16*$C65)+($J16*$C65)/$E$6</f>
        <v>1.3499999999999999</v>
      </c>
      <c r="K65" s="973">
        <f>($F16*$C65)+($G16*$C65)+($H16*$C65)+($I16*$C65)+($J16*$C65)+($K16*$C65)/$E$6</f>
        <v>1.65</v>
      </c>
      <c r="L65" s="925">
        <f>'11.2. Нови активи отч.год.'!L66</f>
        <v>0</v>
      </c>
      <c r="M65" s="893">
        <f>($M16*$C65)/$E$6</f>
        <v>0</v>
      </c>
      <c r="N65" s="894">
        <f>($M16*$C65)+($N16*$C65)/$E$6</f>
        <v>0</v>
      </c>
      <c r="O65" s="894">
        <f>($M16*$C65)+($N16*$C65)+($O16*$C65)/$E$6</f>
        <v>0</v>
      </c>
      <c r="P65" s="894">
        <f>($M16*$C65)+($N16*$C65)+($O16*$C65)+($P16*$C65)/$E$6</f>
        <v>0</v>
      </c>
      <c r="Q65" s="973">
        <f>($M16*$C65)+($N16*$C65)+($O16*$C65)+($P16*$C65)+($Q16*$C65)/$E$6</f>
        <v>0</v>
      </c>
      <c r="R65" s="895">
        <f>($M16*$C65)+($N16*$C65)+($O16*$C65)+($P16*$C65)+($Q16*$C65)+($R16*$C65)/$E$6</f>
        <v>0</v>
      </c>
      <c r="S65" s="1732">
        <f>'11.2. Нови активи отч.год.'!S66</f>
        <v>0</v>
      </c>
      <c r="T65" s="2914">
        <f>($T16*$C65)/$E$6</f>
        <v>0</v>
      </c>
      <c r="U65" s="894">
        <f>($T16*$C65)+($U16*$C65)/$E$6</f>
        <v>0</v>
      </c>
      <c r="V65" s="894">
        <f>($T16*$C65)+($U16*$C65)+($V16*$C65)/$E$6</f>
        <v>0</v>
      </c>
      <c r="W65" s="894">
        <f>($T16*$C65)+($U16*$C65)+($V16*$C65)+($W16*$C65)/$E$6</f>
        <v>0</v>
      </c>
      <c r="X65" s="894">
        <f>($T16*$C65)+($U16*$C65)+($V16*$C65)+($W16*$C65)+($X16*$C65)/$E$6</f>
        <v>0</v>
      </c>
      <c r="Y65" s="973">
        <f>($T16*$C65)+($U16*$C65)+($V16*$C65)+($W16*$C65)+($X16*$C65)+($Y16*$C65)/$E$6</f>
        <v>0</v>
      </c>
      <c r="Z65" s="925">
        <f>'11.2. Нови активи отч.год.'!Z66</f>
        <v>0.2</v>
      </c>
      <c r="AA65" s="893">
        <f>($AA16*$C65)/$E$6</f>
        <v>0</v>
      </c>
      <c r="AB65" s="894">
        <f>($AA16*$C65)+($AB16*$C65)/$E$6</f>
        <v>0</v>
      </c>
      <c r="AC65" s="894">
        <f>($AA16*$C65)+($AB16*$C65)+($AC16*$C65)/$E$6</f>
        <v>0</v>
      </c>
      <c r="AD65" s="894">
        <f>($AA16*$C65)+($AB16*$C65)+($AC16*$C65)+($AD16*$C65)/$E$6</f>
        <v>0</v>
      </c>
      <c r="AE65" s="894">
        <f>($AA16*$C65)+($AB16*$C65)+($AC16*$C65)+($AD16*$C65)+($AE16*$C65)/$E$6</f>
        <v>0</v>
      </c>
      <c r="AF65" s="895">
        <f>($AA16*$C65)+($AB16*$C65)+($AC16*$C65)+($AD16*$C65)+($AE16*$C65)+($AF16*$C65)/$E$6</f>
        <v>0</v>
      </c>
      <c r="AG65" s="641"/>
      <c r="AH65" s="566"/>
    </row>
    <row r="66" spans="1:34" s="317" customFormat="1" ht="12.75" customHeight="1">
      <c r="A66" s="938">
        <v>3</v>
      </c>
      <c r="B66" s="934">
        <v>203</v>
      </c>
      <c r="C66" s="935"/>
      <c r="D66" s="939" t="s">
        <v>577</v>
      </c>
      <c r="E66" s="980">
        <f t="shared" ref="E66:AF66" si="24">SUM(E67:E77)-E70-E73</f>
        <v>9.0399999999999991</v>
      </c>
      <c r="F66" s="974">
        <f t="shared" si="24"/>
        <v>71.25</v>
      </c>
      <c r="G66" s="975">
        <f t="shared" si="24"/>
        <v>151.94999999999999</v>
      </c>
      <c r="H66" s="975">
        <f t="shared" si="24"/>
        <v>170.84999999999997</v>
      </c>
      <c r="I66" s="975">
        <f t="shared" si="24"/>
        <v>189.75</v>
      </c>
      <c r="J66" s="975">
        <f t="shared" si="24"/>
        <v>206.64999999999998</v>
      </c>
      <c r="K66" s="976">
        <f t="shared" si="24"/>
        <v>221.55</v>
      </c>
      <c r="L66" s="977">
        <f t="shared" si="24"/>
        <v>0</v>
      </c>
      <c r="M66" s="974">
        <f t="shared" si="24"/>
        <v>0</v>
      </c>
      <c r="N66" s="975">
        <f t="shared" si="24"/>
        <v>11</v>
      </c>
      <c r="O66" s="975">
        <f t="shared" si="24"/>
        <v>22</v>
      </c>
      <c r="P66" s="975">
        <f t="shared" si="24"/>
        <v>22</v>
      </c>
      <c r="Q66" s="975">
        <f t="shared" si="24"/>
        <v>22</v>
      </c>
      <c r="R66" s="978">
        <f t="shared" si="24"/>
        <v>22</v>
      </c>
      <c r="S66" s="977">
        <f t="shared" si="24"/>
        <v>0</v>
      </c>
      <c r="T66" s="979">
        <f t="shared" si="24"/>
        <v>1.5</v>
      </c>
      <c r="U66" s="975">
        <f t="shared" si="24"/>
        <v>4</v>
      </c>
      <c r="V66" s="975">
        <f t="shared" si="24"/>
        <v>13</v>
      </c>
      <c r="W66" s="975">
        <f t="shared" si="24"/>
        <v>22</v>
      </c>
      <c r="X66" s="975">
        <f t="shared" si="24"/>
        <v>24</v>
      </c>
      <c r="Y66" s="978">
        <f t="shared" si="24"/>
        <v>26</v>
      </c>
      <c r="Z66" s="977">
        <f t="shared" si="24"/>
        <v>9.0399999999999991</v>
      </c>
      <c r="AA66" s="979">
        <f t="shared" si="24"/>
        <v>0</v>
      </c>
      <c r="AB66" s="975">
        <f t="shared" si="24"/>
        <v>0</v>
      </c>
      <c r="AC66" s="975">
        <f t="shared" si="24"/>
        <v>0</v>
      </c>
      <c r="AD66" s="975">
        <f t="shared" si="24"/>
        <v>0</v>
      </c>
      <c r="AE66" s="975">
        <f t="shared" si="24"/>
        <v>0</v>
      </c>
      <c r="AF66" s="978">
        <f t="shared" si="24"/>
        <v>0</v>
      </c>
      <c r="AG66" s="643"/>
      <c r="AH66" s="567"/>
    </row>
    <row r="67" spans="1:34">
      <c r="A67" s="278"/>
      <c r="B67" s="278">
        <v>20301</v>
      </c>
      <c r="C67" s="283">
        <v>0.1</v>
      </c>
      <c r="D67" s="276" t="s">
        <v>599</v>
      </c>
      <c r="E67" s="925">
        <f>'11.2. Нови активи отч.год.'!E68</f>
        <v>1</v>
      </c>
      <c r="F67" s="893">
        <f>($F18*$C67)/$E$6</f>
        <v>0</v>
      </c>
      <c r="G67" s="894">
        <f>($F18*$C67)+($G18*$C67)/$E$6</f>
        <v>0</v>
      </c>
      <c r="H67" s="894">
        <f>($F18*$C67)+($G18*$C67)+($H18*$C67)/$E$6</f>
        <v>0</v>
      </c>
      <c r="I67" s="894">
        <f>($F18*$C67)+($G18*$C67)+($H18*$C67)+($I18*$C67)/$E$6</f>
        <v>0</v>
      </c>
      <c r="J67" s="894">
        <f>($F18*$C67)+($G18*$C67)+($H18*$C67)+($I18*$C67)+($J18*$C67)/$E$6</f>
        <v>0</v>
      </c>
      <c r="K67" s="973">
        <f>($F18*$C67)+($G18*$C67)+($H18*$C67)+($I18*$C67)+($J18*$C67)+($K18*$C67)/$E$6</f>
        <v>0</v>
      </c>
      <c r="L67" s="925">
        <f>'11.2. Нови активи отч.год.'!L68</f>
        <v>0</v>
      </c>
      <c r="M67" s="893">
        <f>($M18*$C67)/$E$6</f>
        <v>0</v>
      </c>
      <c r="N67" s="894">
        <f>($M18*$C67)+($N18*$C67)/$E$6</f>
        <v>0</v>
      </c>
      <c r="O67" s="894">
        <f>($M18*$C67)+($N18*$C67)+($O18*$C67)/$E$6</f>
        <v>0</v>
      </c>
      <c r="P67" s="894">
        <f>($M18*$C67)+($N18*$C67)+($O18*$C67)+($P18*$C67)/$E$6</f>
        <v>0</v>
      </c>
      <c r="Q67" s="973">
        <f>($M18*$C67)+($N18*$C67)+($O18*$C67)+($P18*$C67)+($Q18*$C67)/$E$6</f>
        <v>0</v>
      </c>
      <c r="R67" s="895">
        <f>($M18*$C67)+($N18*$C67)+($O18*$C67)+($P18*$C67)+($Q18*$C67)+($R18*$C67)/$E$6</f>
        <v>0</v>
      </c>
      <c r="S67" s="1732">
        <f>'11.2. Нови активи отч.год.'!S68</f>
        <v>0</v>
      </c>
      <c r="T67" s="2914">
        <f>($T18*$C67)/$E$6</f>
        <v>0</v>
      </c>
      <c r="U67" s="894">
        <f>($T18*$C67)+($U18*$C67)/$E$6</f>
        <v>0</v>
      </c>
      <c r="V67" s="894">
        <f>($T18*$C67)+($U18*$C67)+($V18*$C67)/$E$6</f>
        <v>0</v>
      </c>
      <c r="W67" s="894">
        <f>($T18*$C67)+($U18*$C67)+($V18*$C67)+($W18*$C67)/$E$6</f>
        <v>0</v>
      </c>
      <c r="X67" s="894">
        <f>($T18*$C67)+($U18*$C67)+($V18*$C67)+($W18*$C67)+($X18*$C67)/$E$6</f>
        <v>0</v>
      </c>
      <c r="Y67" s="973">
        <f>($T18*$C67)+($U18*$C67)+($V18*$C67)+($W18*$C67)+($X18*$C67)+($Y18*$C67)/$E$6</f>
        <v>0</v>
      </c>
      <c r="Z67" s="925">
        <f>'11.2. Нови активи отч.год.'!Z68</f>
        <v>1</v>
      </c>
      <c r="AA67" s="893">
        <f>($AA18*$C67)/$E$6</f>
        <v>0</v>
      </c>
      <c r="AB67" s="894">
        <f>($AA18*$C67)+($AB18*$C67)/$E$6</f>
        <v>0</v>
      </c>
      <c r="AC67" s="894">
        <f>($AA18*$C67)+($AB18*$C67)+($AC18*$C67)/$E$6</f>
        <v>0</v>
      </c>
      <c r="AD67" s="894">
        <f>($AA18*$C67)+($AB18*$C67)+($AC18*$C67)+($AD18*$C67)/$E$6</f>
        <v>0</v>
      </c>
      <c r="AE67" s="894">
        <f>($AA18*$C67)+($AB18*$C67)+($AC18*$C67)+($AD18*$C67)+($AE18*$C67)/$E$6</f>
        <v>0</v>
      </c>
      <c r="AF67" s="895">
        <f>($AA18*$C67)+($AB18*$C67)+($AC18*$C67)+($AD18*$C67)+($AE18*$C67)+($AF18*$C67)/$E$6</f>
        <v>0</v>
      </c>
      <c r="AG67" s="644"/>
      <c r="AH67" s="566"/>
    </row>
    <row r="68" spans="1:34">
      <c r="A68" s="278"/>
      <c r="B68" s="278">
        <v>20302</v>
      </c>
      <c r="C68" s="283">
        <v>0.1</v>
      </c>
      <c r="D68" s="276" t="s">
        <v>600</v>
      </c>
      <c r="E68" s="925">
        <f>'11.2. Нови активи отч.год.'!E69</f>
        <v>0.4</v>
      </c>
      <c r="F68" s="893">
        <f>($F19*$C68)/$E$6</f>
        <v>0</v>
      </c>
      <c r="G68" s="882">
        <f>($F19*$C68)+($G19*$C68)/$E$6</f>
        <v>0</v>
      </c>
      <c r="H68" s="882">
        <f>($F19*$C68)+($G19*$C68)+($H19*$C68)/$E$6</f>
        <v>0</v>
      </c>
      <c r="I68" s="882">
        <f>($F19*$C68)+($G19*$C68)+($H19*$C68)+($I19*$C68)/$E$6</f>
        <v>0</v>
      </c>
      <c r="J68" s="882">
        <f>($F19*$C68)+($G19*$C68)+($H19*$C68)+($I19*$C68)+($J19*$C68)/$E$6</f>
        <v>0</v>
      </c>
      <c r="K68" s="981">
        <f>($F19*$C68)+($G19*$C68)+($H19*$C68)+($I19*$C68)+($J19*$C68)+($K19*$C68)/$E$6</f>
        <v>0</v>
      </c>
      <c r="L68" s="925">
        <f>'11.2. Нови активи отч.год.'!L69</f>
        <v>0</v>
      </c>
      <c r="M68" s="881">
        <f>($M19*$C68)/$E$6</f>
        <v>0</v>
      </c>
      <c r="N68" s="882">
        <f>($M19*$C68)+($N19*$C68)/$E$6</f>
        <v>0</v>
      </c>
      <c r="O68" s="882">
        <f>($M19*$C68)+($N19*$C68)+($O19*$C68)/$E$6</f>
        <v>0</v>
      </c>
      <c r="P68" s="882">
        <f>($M19*$C68)+($N19*$C68)+($O19*$C68)+($P19*$C68)/$E$6</f>
        <v>0</v>
      </c>
      <c r="Q68" s="981">
        <f>($M19*$C68)+($N19*$C68)+($O19*$C68)+($P19*$C68)+($Q19*$C68)/$E$6</f>
        <v>0</v>
      </c>
      <c r="R68" s="883">
        <f>($M19*$C68)+($N19*$C68)+($O19*$C68)+($P19*$C68)+($Q19*$C68)+($R19*$C68)/$E$6</f>
        <v>0</v>
      </c>
      <c r="S68" s="1732">
        <f>'11.2. Нови активи отч.год.'!S69</f>
        <v>0</v>
      </c>
      <c r="T68" s="928">
        <f>($T19*$C68)/$E$6</f>
        <v>0</v>
      </c>
      <c r="U68" s="882">
        <f>($T19*$C68)+($U19*$C68)/$E$6</f>
        <v>0</v>
      </c>
      <c r="V68" s="882">
        <f>($T19*$C68)+($U19*$C68)+($V19*$C68)/$E$6</f>
        <v>0</v>
      </c>
      <c r="W68" s="882">
        <f>($T19*$C68)+($U19*$C68)+($V19*$C68)+($W19*$C68)/$E$6</f>
        <v>0</v>
      </c>
      <c r="X68" s="882">
        <f>($T19*$C68)+($U19*$C68)+($V19*$C68)+($W19*$C68)+($X19*$C68)/$E$6</f>
        <v>0</v>
      </c>
      <c r="Y68" s="981">
        <f>($T19*$C68)+($U19*$C68)+($V19*$C68)+($W19*$C68)+($X19*$C68)+($Y19*$C68)/$E$6</f>
        <v>0</v>
      </c>
      <c r="Z68" s="925">
        <f>'11.2. Нови активи отч.год.'!Z69</f>
        <v>0.4</v>
      </c>
      <c r="AA68" s="881">
        <f>($AA19*$C68)/$E$6</f>
        <v>0</v>
      </c>
      <c r="AB68" s="882">
        <f>($AA19*$C68)+($AB19*$C68)/$E$6</f>
        <v>0</v>
      </c>
      <c r="AC68" s="882">
        <f>($AA19*$C68)+($AB19*$C68)+($AC19*$C68)/$E$6</f>
        <v>0</v>
      </c>
      <c r="AD68" s="882">
        <f>($AA19*$C68)+($AB19*$C68)+($AC19*$C68)+($AD19*$C68)/$E$6</f>
        <v>0</v>
      </c>
      <c r="AE68" s="882">
        <f>($AA19*$C68)+($AB19*$C68)+($AC19*$C68)+($AD19*$C68)+($AE19*$C68)/$E$6</f>
        <v>0</v>
      </c>
      <c r="AF68" s="883">
        <f>($AA19*$C68)+($AB19*$C68)+($AC19*$C68)+($AD19*$C68)+($AE19*$C68)+($AF19*$C68)/$E$6</f>
        <v>0</v>
      </c>
      <c r="AG68" s="307"/>
      <c r="AH68" s="566"/>
    </row>
    <row r="69" spans="1:34">
      <c r="A69" s="278"/>
      <c r="B69" s="278">
        <v>20303</v>
      </c>
      <c r="C69" s="283">
        <v>0.1</v>
      </c>
      <c r="D69" s="276" t="s">
        <v>578</v>
      </c>
      <c r="E69" s="925">
        <f>'11.2. Нови активи отч.год.'!E70</f>
        <v>0.2</v>
      </c>
      <c r="F69" s="893">
        <f>($F20*$C69)/$E$6</f>
        <v>10.25</v>
      </c>
      <c r="G69" s="882">
        <f>($F20*$C69)+($G20*$C69)/$E$6</f>
        <v>21.5</v>
      </c>
      <c r="H69" s="882">
        <f>($F20*$C69)+($G20*$C69)+($H20*$C69)/$E$6</f>
        <v>23.5</v>
      </c>
      <c r="I69" s="882">
        <f>($F20*$C69)+($G20*$C69)+($H20*$C69)+($I20*$C69)/$E$6</f>
        <v>25.5</v>
      </c>
      <c r="J69" s="882">
        <f>($F20*$C69)+($G20*$C69)+($H20*$C69)+($I20*$C69)+($J20*$C69)/$E$6</f>
        <v>27.5</v>
      </c>
      <c r="K69" s="981">
        <f>($F20*$C69)+($G20*$C69)+($H20*$C69)+($I20*$C69)+($J20*$C69)+($K20*$C69)/$E$6</f>
        <v>29.5</v>
      </c>
      <c r="L69" s="925">
        <f>'11.2. Нови активи отч.год.'!L70</f>
        <v>0</v>
      </c>
      <c r="M69" s="881">
        <f>($M20*$C69)/$E$6</f>
        <v>0</v>
      </c>
      <c r="N69" s="882">
        <f>($M20*$C69)+($N20*$C69)/$E$6</f>
        <v>11</v>
      </c>
      <c r="O69" s="882">
        <f>($M20*$C69)+($N20*$C69)+($O20*$C69)/$E$6</f>
        <v>22</v>
      </c>
      <c r="P69" s="882">
        <f>($M20*$C69)+($N20*$C69)+($O20*$C69)+($P20*$C69)/$E$6</f>
        <v>22</v>
      </c>
      <c r="Q69" s="981">
        <f>($M20*$C69)+($N20*$C69)+($O20*$C69)+($P20*$C69)+($Q20*$C69)/$E$6</f>
        <v>22</v>
      </c>
      <c r="R69" s="883">
        <f>($M20*$C69)+($N20*$C69)+($O20*$C69)+($P20*$C69)+($Q20*$C69)+($R20*$C69)/$E$6</f>
        <v>22</v>
      </c>
      <c r="S69" s="1732">
        <f>'11.2. Нови активи отч.год.'!S70</f>
        <v>0</v>
      </c>
      <c r="T69" s="928">
        <f>($T20*$C69)/$E$6</f>
        <v>1</v>
      </c>
      <c r="U69" s="882">
        <f>($T20*$C69)+($U20*$C69)/$E$6</f>
        <v>2.5</v>
      </c>
      <c r="V69" s="882">
        <f>($T20*$C69)+($U20*$C69)+($V20*$C69)/$E$6</f>
        <v>10.5</v>
      </c>
      <c r="W69" s="882">
        <f>($T20*$C69)+($U20*$C69)+($V20*$C69)+($W20*$C69)/$E$6</f>
        <v>18.5</v>
      </c>
      <c r="X69" s="882">
        <f>($T20*$C69)+($U20*$C69)+($V20*$C69)+($W20*$C69)+($X20*$C69)/$E$6</f>
        <v>19.5</v>
      </c>
      <c r="Y69" s="981">
        <f>($T20*$C69)+($U20*$C69)+($V20*$C69)+($W20*$C69)+($X20*$C69)+($Y20*$C69)/$E$6</f>
        <v>20.5</v>
      </c>
      <c r="Z69" s="925">
        <f>'11.2. Нови активи отч.год.'!Z70</f>
        <v>0.2</v>
      </c>
      <c r="AA69" s="881">
        <f>($AA20*$C69)/$E$6</f>
        <v>0</v>
      </c>
      <c r="AB69" s="882">
        <f>($AA20*$C69)+($AB20*$C69)/$E$6</f>
        <v>0</v>
      </c>
      <c r="AC69" s="882">
        <f>($AA20*$C69)+($AB20*$C69)+($AC20*$C69)/$E$6</f>
        <v>0</v>
      </c>
      <c r="AD69" s="882">
        <f>($AA20*$C69)+($AB20*$C69)+($AC20*$C69)+($AD20*$C69)/$E$6</f>
        <v>0</v>
      </c>
      <c r="AE69" s="882">
        <f>($AA20*$C69)+($AB20*$C69)+($AC20*$C69)+($AD20*$C69)+($AE20*$C69)/$E$6</f>
        <v>0</v>
      </c>
      <c r="AF69" s="883">
        <f>($AA20*$C69)+($AB20*$C69)+($AC20*$C69)+($AD20*$C69)+($AE20*$C69)+($AF20*$C69)/$E$6</f>
        <v>0</v>
      </c>
      <c r="AG69" s="307"/>
      <c r="AH69" s="566"/>
    </row>
    <row r="70" spans="1:34">
      <c r="A70" s="278"/>
      <c r="B70" s="278">
        <v>20304</v>
      </c>
      <c r="C70" s="283">
        <v>0.1</v>
      </c>
      <c r="D70" s="276" t="s">
        <v>579</v>
      </c>
      <c r="E70" s="941">
        <f t="shared" ref="E70:AF70" si="25">SUM(E71:E72)</f>
        <v>0.9</v>
      </c>
      <c r="F70" s="942">
        <f t="shared" si="25"/>
        <v>0</v>
      </c>
      <c r="G70" s="943">
        <f t="shared" si="25"/>
        <v>0</v>
      </c>
      <c r="H70" s="943">
        <f t="shared" si="25"/>
        <v>0</v>
      </c>
      <c r="I70" s="943">
        <f t="shared" si="25"/>
        <v>0</v>
      </c>
      <c r="J70" s="943">
        <f t="shared" si="25"/>
        <v>0</v>
      </c>
      <c r="K70" s="982">
        <f t="shared" si="25"/>
        <v>0</v>
      </c>
      <c r="L70" s="945">
        <f t="shared" si="25"/>
        <v>0</v>
      </c>
      <c r="M70" s="942">
        <f t="shared" si="25"/>
        <v>0</v>
      </c>
      <c r="N70" s="943">
        <f t="shared" si="25"/>
        <v>0</v>
      </c>
      <c r="O70" s="943">
        <f t="shared" si="25"/>
        <v>0</v>
      </c>
      <c r="P70" s="943">
        <f t="shared" si="25"/>
        <v>0</v>
      </c>
      <c r="Q70" s="943">
        <f t="shared" si="25"/>
        <v>0</v>
      </c>
      <c r="R70" s="944">
        <f t="shared" si="25"/>
        <v>0</v>
      </c>
      <c r="S70" s="945">
        <f t="shared" si="25"/>
        <v>0</v>
      </c>
      <c r="T70" s="946">
        <f t="shared" si="25"/>
        <v>0</v>
      </c>
      <c r="U70" s="943">
        <f t="shared" si="25"/>
        <v>0</v>
      </c>
      <c r="V70" s="943">
        <f t="shared" si="25"/>
        <v>0</v>
      </c>
      <c r="W70" s="943">
        <f t="shared" si="25"/>
        <v>0</v>
      </c>
      <c r="X70" s="943">
        <f t="shared" si="25"/>
        <v>0</v>
      </c>
      <c r="Y70" s="944">
        <f t="shared" si="25"/>
        <v>0</v>
      </c>
      <c r="Z70" s="945">
        <f t="shared" si="25"/>
        <v>0.9</v>
      </c>
      <c r="AA70" s="946">
        <f t="shared" si="25"/>
        <v>0</v>
      </c>
      <c r="AB70" s="943">
        <f t="shared" si="25"/>
        <v>0</v>
      </c>
      <c r="AC70" s="943">
        <f t="shared" si="25"/>
        <v>0</v>
      </c>
      <c r="AD70" s="943">
        <f t="shared" si="25"/>
        <v>0</v>
      </c>
      <c r="AE70" s="943">
        <f t="shared" si="25"/>
        <v>0</v>
      </c>
      <c r="AF70" s="944">
        <f t="shared" si="25"/>
        <v>0</v>
      </c>
      <c r="AG70" s="307"/>
      <c r="AH70" s="566"/>
    </row>
    <row r="71" spans="1:34" s="620" customFormat="1">
      <c r="A71" s="947"/>
      <c r="B71" s="947">
        <v>2030401</v>
      </c>
      <c r="C71" s="948">
        <v>0.1</v>
      </c>
      <c r="D71" s="273" t="s">
        <v>1375</v>
      </c>
      <c r="E71" s="925">
        <f>'11.2. Нови активи отч.год.'!E72</f>
        <v>0.9</v>
      </c>
      <c r="F71" s="983">
        <f>($F22*$C71)/$E$6</f>
        <v>0</v>
      </c>
      <c r="G71" s="984">
        <f>($F22*$C71)+($G22*$C71)/$E$6</f>
        <v>0</v>
      </c>
      <c r="H71" s="984">
        <f>($F22*$C71)+($G22*$C71)+($H22*$C71)/$E$6</f>
        <v>0</v>
      </c>
      <c r="I71" s="984">
        <f>($F22*$C71)+($G22*$C71)+($H22*$C71)+($I22*$C71)/$E$6</f>
        <v>0</v>
      </c>
      <c r="J71" s="984">
        <f>($F22*$C71)+($G22*$C71)+($H22*$C71)+($I22*$C71)+($J22*$C71)/$E$6</f>
        <v>0</v>
      </c>
      <c r="K71" s="985">
        <f>($F22*$C71)+($G22*$C71)+($H22*$C71)+($I22*$C71)+($J22*$C71)+($K22*$C71)/$E$6</f>
        <v>0</v>
      </c>
      <c r="L71" s="925">
        <f>'11.2. Нови активи отч.год.'!L72</f>
        <v>0</v>
      </c>
      <c r="M71" s="986">
        <f>($M22*$C71)/$E$6</f>
        <v>0</v>
      </c>
      <c r="N71" s="984">
        <f>($M22*$C71)+($N22*$C71)/$E$6</f>
        <v>0</v>
      </c>
      <c r="O71" s="984">
        <f>($M22*$C71)+($N22*$C71)+($O22*$C71)/$E$6</f>
        <v>0</v>
      </c>
      <c r="P71" s="984">
        <f>($M22*$C71)+($N22*$C71)+($O22*$C71)+($P22*$C71)/$E$6</f>
        <v>0</v>
      </c>
      <c r="Q71" s="985">
        <f>($M22*$C71)+($N22*$C71)+($O22*$C71)+($P22*$C71)+($Q22*$C71)/$E$6</f>
        <v>0</v>
      </c>
      <c r="R71" s="987">
        <f>($M22*$C71)+($N22*$C71)+($O22*$C71)+($P22*$C71)+($Q22*$C71)+($R22*$C71)/$E$6</f>
        <v>0</v>
      </c>
      <c r="S71" s="1732">
        <f>'11.2. Нови активи отч.год.'!S72</f>
        <v>0</v>
      </c>
      <c r="T71" s="2915">
        <f>($T22*$C71)/$E$6</f>
        <v>0</v>
      </c>
      <c r="U71" s="984">
        <f>($T22*$C71)+($U22*$C71)/$E$6</f>
        <v>0</v>
      </c>
      <c r="V71" s="984">
        <f>($T22*$C71)+($U22*$C71)+($V22*$C71)/$E$6</f>
        <v>0</v>
      </c>
      <c r="W71" s="984">
        <f>($T22*$C71)+($U22*$C71)+($V22*$C71)+($W22*$C71)/$E$6</f>
        <v>0</v>
      </c>
      <c r="X71" s="984">
        <f>($T22*$C71)+($U22*$C71)+($V22*$C71)+($W22*$C71)+($X22*$C71)/$E$6</f>
        <v>0</v>
      </c>
      <c r="Y71" s="985">
        <f>($T22*$C71)+($U22*$C71)+($V22*$C71)+($W22*$C71)+($X22*$C71)+($Y22*$C71)/$E$6</f>
        <v>0</v>
      </c>
      <c r="Z71" s="925">
        <f>'11.2. Нови активи отч.год.'!Z72</f>
        <v>0.9</v>
      </c>
      <c r="AA71" s="986">
        <f>($AA22*$C71)/$E$6</f>
        <v>0</v>
      </c>
      <c r="AB71" s="984">
        <f>($AA22*$C71)+($AB22*$C71)/$E$6</f>
        <v>0</v>
      </c>
      <c r="AC71" s="984">
        <f>($AA22*$C71)+($AB22*$C71)+($AC22*$C71)/$E$6</f>
        <v>0</v>
      </c>
      <c r="AD71" s="984">
        <f>($AA22*$C71)+($AB22*$C71)+($AC22*$C71)+($AD22*$C71)/$E$6</f>
        <v>0</v>
      </c>
      <c r="AE71" s="984">
        <f>($AA22*$C71)+($AB22*$C71)+($AC22*$C71)+($AD22*$C71)+($AE22*$C71)/$E$6</f>
        <v>0</v>
      </c>
      <c r="AF71" s="987">
        <f>($AA22*$C71)+($AB22*$C71)+($AC22*$C71)+($AD22*$C71)+($AE22*$C71)+($AF22*$C71)/$E$6</f>
        <v>0</v>
      </c>
      <c r="AG71" s="618"/>
      <c r="AH71" s="619"/>
    </row>
    <row r="72" spans="1:34" s="620" customFormat="1">
      <c r="A72" s="947"/>
      <c r="B72" s="947">
        <v>2030402</v>
      </c>
      <c r="C72" s="948">
        <v>0.1</v>
      </c>
      <c r="D72" s="273" t="s">
        <v>601</v>
      </c>
      <c r="E72" s="925">
        <f>'11.2. Нови активи отч.год.'!E73</f>
        <v>0</v>
      </c>
      <c r="F72" s="983">
        <f>($F23*$C72)/$E$6</f>
        <v>0</v>
      </c>
      <c r="G72" s="984">
        <f>($F23*$C72)+($G23*$C72)/$E$6</f>
        <v>0</v>
      </c>
      <c r="H72" s="984">
        <f>($F23*$C72)+($G23*$C72)+($H23*$C72)/$E$6</f>
        <v>0</v>
      </c>
      <c r="I72" s="984">
        <f>($F23*$C72)+($G23*$C72)+($H23*$C72)+($I23*$C72)/$E$6</f>
        <v>0</v>
      </c>
      <c r="J72" s="984">
        <f>($F23*$C72)+($G23*$C72)+($H23*$C72)+($I23*$C72)+($J23*$C72)/$E$6</f>
        <v>0</v>
      </c>
      <c r="K72" s="985">
        <f>($F23*$C72)+($G23*$C72)+($H23*$C72)+($I23*$C72)+($J23*$C72)+($K23*$C72)/$E$6</f>
        <v>0</v>
      </c>
      <c r="L72" s="925">
        <f>'11.2. Нови активи отч.год.'!L73</f>
        <v>0</v>
      </c>
      <c r="M72" s="986">
        <f>($M23*$C72)/$E$6</f>
        <v>0</v>
      </c>
      <c r="N72" s="984">
        <f>($M23*$C72)+($N23*$C72)/$E$6</f>
        <v>0</v>
      </c>
      <c r="O72" s="984">
        <f>($M23*$C72)+($N23*$C72)+($O23*$C72)/$E$6</f>
        <v>0</v>
      </c>
      <c r="P72" s="984">
        <f>($M23*$C72)+($N23*$C72)+($O23*$C72)+($P23*$C72)/$E$6</f>
        <v>0</v>
      </c>
      <c r="Q72" s="985">
        <f>($M23*$C72)+($N23*$C72)+($O23*$C72)+($P23*$C72)+($Q23*$C72)/$E$6</f>
        <v>0</v>
      </c>
      <c r="R72" s="987">
        <f>($M23*$C72)+($N23*$C72)+($O23*$C72)+($P23*$C72)+($Q23*$C72)+($R23*$C72)/$E$6</f>
        <v>0</v>
      </c>
      <c r="S72" s="1732">
        <f>'11.2. Нови активи отч.год.'!S73</f>
        <v>0</v>
      </c>
      <c r="T72" s="2915">
        <f>($T23*$C72)/$E$6</f>
        <v>0</v>
      </c>
      <c r="U72" s="984">
        <f>($T23*$C72)+($U23*$C72)/$E$6</f>
        <v>0</v>
      </c>
      <c r="V72" s="984">
        <f>($T23*$C72)+($U23*$C72)+($V23*$C72)/$E$6</f>
        <v>0</v>
      </c>
      <c r="W72" s="984">
        <f>($T23*$C72)+($U23*$C72)+($V23*$C72)+($W23*$C72)/$E$6</f>
        <v>0</v>
      </c>
      <c r="X72" s="984">
        <f>($T23*$C72)+($U23*$C72)+($V23*$C72)+($W23*$C72)+($X23*$C72)/$E$6</f>
        <v>0</v>
      </c>
      <c r="Y72" s="985">
        <f>($T23*$C72)+($U23*$C72)+($V23*$C72)+($W23*$C72)+($X23*$C72)+($Y23*$C72)/$E$6</f>
        <v>0</v>
      </c>
      <c r="Z72" s="925">
        <f>'11.2. Нови активи отч.год.'!Z73</f>
        <v>0</v>
      </c>
      <c r="AA72" s="986">
        <f>($AA23*$C72)/$E$6</f>
        <v>0</v>
      </c>
      <c r="AB72" s="984">
        <f>($AA23*$C72)+($AB23*$C72)/$E$6</f>
        <v>0</v>
      </c>
      <c r="AC72" s="984">
        <f>($AA23*$C72)+($AB23*$C72)+($AC23*$C72)/$E$6</f>
        <v>0</v>
      </c>
      <c r="AD72" s="984">
        <f>($AA23*$C72)+($AB23*$C72)+($AC23*$C72)+($AD23*$C72)/$E$6</f>
        <v>0</v>
      </c>
      <c r="AE72" s="984">
        <f>($AA23*$C72)+($AB23*$C72)+($AC23*$C72)+($AD23*$C72)+($AE23*$C72)/$E$6</f>
        <v>0</v>
      </c>
      <c r="AF72" s="987">
        <f>($AA23*$C72)+($AB23*$C72)+($AC23*$C72)+($AD23*$C72)+($AE23*$C72)+($AF23*$C72)/$E$6</f>
        <v>0</v>
      </c>
      <c r="AG72" s="618"/>
      <c r="AH72" s="619"/>
    </row>
    <row r="73" spans="1:34">
      <c r="A73" s="278"/>
      <c r="B73" s="278">
        <v>20305</v>
      </c>
      <c r="C73" s="282"/>
      <c r="D73" s="276" t="s">
        <v>602</v>
      </c>
      <c r="E73" s="941">
        <f>SUM(E74:E76)</f>
        <v>4.24</v>
      </c>
      <c r="F73" s="942">
        <f t="shared" ref="F73:AF73" si="26">SUM(F74:F76)</f>
        <v>35.1</v>
      </c>
      <c r="G73" s="943">
        <f t="shared" si="26"/>
        <v>77.7</v>
      </c>
      <c r="H73" s="943">
        <f t="shared" si="26"/>
        <v>92.7</v>
      </c>
      <c r="I73" s="943">
        <f t="shared" si="26"/>
        <v>107.7</v>
      </c>
      <c r="J73" s="943">
        <f t="shared" si="26"/>
        <v>120.7</v>
      </c>
      <c r="K73" s="982">
        <f t="shared" si="26"/>
        <v>131.69999999999999</v>
      </c>
      <c r="L73" s="945">
        <f t="shared" si="26"/>
        <v>0</v>
      </c>
      <c r="M73" s="942">
        <f t="shared" si="26"/>
        <v>0</v>
      </c>
      <c r="N73" s="943">
        <f t="shared" si="26"/>
        <v>0</v>
      </c>
      <c r="O73" s="943">
        <f t="shared" si="26"/>
        <v>0</v>
      </c>
      <c r="P73" s="943">
        <f t="shared" si="26"/>
        <v>0</v>
      </c>
      <c r="Q73" s="943">
        <f t="shared" si="26"/>
        <v>0</v>
      </c>
      <c r="R73" s="944">
        <f t="shared" si="26"/>
        <v>0</v>
      </c>
      <c r="S73" s="945">
        <f t="shared" si="26"/>
        <v>0</v>
      </c>
      <c r="T73" s="946">
        <f t="shared" si="26"/>
        <v>0</v>
      </c>
      <c r="U73" s="943">
        <f t="shared" si="26"/>
        <v>0</v>
      </c>
      <c r="V73" s="943">
        <f t="shared" si="26"/>
        <v>0</v>
      </c>
      <c r="W73" s="943">
        <f t="shared" si="26"/>
        <v>0</v>
      </c>
      <c r="X73" s="943">
        <f t="shared" si="26"/>
        <v>0</v>
      </c>
      <c r="Y73" s="944">
        <f t="shared" si="26"/>
        <v>0</v>
      </c>
      <c r="Z73" s="945">
        <f t="shared" si="26"/>
        <v>4.24</v>
      </c>
      <c r="AA73" s="946">
        <f t="shared" si="26"/>
        <v>0</v>
      </c>
      <c r="AB73" s="943">
        <f t="shared" si="26"/>
        <v>0</v>
      </c>
      <c r="AC73" s="943">
        <f t="shared" si="26"/>
        <v>0</v>
      </c>
      <c r="AD73" s="943">
        <f t="shared" si="26"/>
        <v>0</v>
      </c>
      <c r="AE73" s="943">
        <f t="shared" si="26"/>
        <v>0</v>
      </c>
      <c r="AF73" s="944">
        <f t="shared" si="26"/>
        <v>0</v>
      </c>
      <c r="AG73" s="307"/>
      <c r="AH73" s="566"/>
    </row>
    <row r="74" spans="1:34" s="620" customFormat="1">
      <c r="A74" s="947"/>
      <c r="B74" s="947">
        <v>2030501</v>
      </c>
      <c r="C74" s="949">
        <v>0.1</v>
      </c>
      <c r="D74" s="273" t="s">
        <v>1391</v>
      </c>
      <c r="E74" s="925">
        <f>'11.2. Нови активи отч.год.'!E75</f>
        <v>2.14</v>
      </c>
      <c r="F74" s="983">
        <f>($F25*$C74)/$E$6</f>
        <v>12</v>
      </c>
      <c r="G74" s="984">
        <f>($F25*$C74)+($G25*$C74)/$E$6</f>
        <v>26</v>
      </c>
      <c r="H74" s="984">
        <f>($F25*$C74)+($G25*$C74)+($H25*$C74)/$E$6</f>
        <v>31</v>
      </c>
      <c r="I74" s="984">
        <f>($F25*$C74)+($G25*$C74)+($H25*$C74)+($I25*$C74)/$E$6</f>
        <v>36</v>
      </c>
      <c r="J74" s="984">
        <f>($F25*$C74)+($G25*$C74)+($H25*$C74)+($I25*$C74)+($J25*$C74)/$E$6</f>
        <v>40</v>
      </c>
      <c r="K74" s="985">
        <f>($F25*$C74)+($G25*$C74)+($H25*$C74)+($I25*$C74)+($J25*$C74)+($K25*$C74)/$E$6</f>
        <v>43</v>
      </c>
      <c r="L74" s="925">
        <f>'11.2. Нови активи отч.год.'!L75</f>
        <v>0</v>
      </c>
      <c r="M74" s="986">
        <f>($M25*$C74)/$E$6</f>
        <v>0</v>
      </c>
      <c r="N74" s="984">
        <f>($M25*$C74)+($N25*$C74)/$E$6</f>
        <v>0</v>
      </c>
      <c r="O74" s="984">
        <f>($M25*$C74)+($N25*$C74)+($O25*$C74)/$E$6</f>
        <v>0</v>
      </c>
      <c r="P74" s="984">
        <f>($M25*$C74)+($N25*$C74)+($O25*$C74)+($P25*$C74)/$E$6</f>
        <v>0</v>
      </c>
      <c r="Q74" s="985">
        <f>($M25*$C74)+($N25*$C74)+($O25*$C74)+($P25*$C74)+($Q25*$C74)/$E$6</f>
        <v>0</v>
      </c>
      <c r="R74" s="987">
        <f>($M25*$C74)+($N25*$C74)+($O25*$C74)+($P25*$C74)+($Q25*$C74)+($R25*$C74)/$E$6</f>
        <v>0</v>
      </c>
      <c r="S74" s="1732">
        <f>'11.2. Нови активи отч.год.'!S75</f>
        <v>0</v>
      </c>
      <c r="T74" s="2915">
        <f>($T25*$C74)/$E$6</f>
        <v>0</v>
      </c>
      <c r="U74" s="984">
        <f>($T25*$C74)+($U25*$C74)/$E$6</f>
        <v>0</v>
      </c>
      <c r="V74" s="984">
        <f>($T25*$C74)+($U25*$C74)+($V25*$C74)/$E$6</f>
        <v>0</v>
      </c>
      <c r="W74" s="984">
        <f>($T25*$C74)+($U25*$C74)+($V25*$C74)+($W25*$C74)/$E$6</f>
        <v>0</v>
      </c>
      <c r="X74" s="984">
        <f>($T25*$C74)+($U25*$C74)+($V25*$C74)+($W25*$C74)+($X25*$C74)/$E$6</f>
        <v>0</v>
      </c>
      <c r="Y74" s="985">
        <f>($T25*$C74)+($U25*$C74)+($V25*$C74)+($W25*$C74)+($X25*$C74)+($Y25*$C74)/$E$6</f>
        <v>0</v>
      </c>
      <c r="Z74" s="925">
        <f>'11.2. Нови активи отч.год.'!Z75</f>
        <v>2.14</v>
      </c>
      <c r="AA74" s="986">
        <f>($AA25*$C74)/$E$6</f>
        <v>0</v>
      </c>
      <c r="AB74" s="984">
        <f>($AA25*$C74)+($AB25*$C74)/$E$6</f>
        <v>0</v>
      </c>
      <c r="AC74" s="984">
        <f>($AA25*$C74)+($AB25*$C74)+($AC25*$C74)/$E$6</f>
        <v>0</v>
      </c>
      <c r="AD74" s="984">
        <f>($AA25*$C74)+($AB25*$C74)+($AC25*$C74)+($AD25*$C74)/$E$6</f>
        <v>0</v>
      </c>
      <c r="AE74" s="984">
        <f>($AA25*$C74)+($AB25*$C74)+($AC25*$C74)+($AD25*$C74)+($AE25*$C74)/$E$6</f>
        <v>0</v>
      </c>
      <c r="AF74" s="987">
        <f>($AA25*$C74)+($AB25*$C74)+($AC25*$C74)+($AD25*$C74)+($AE25*$C74)+($AF25*$C74)/$E$6</f>
        <v>0</v>
      </c>
      <c r="AG74" s="618"/>
      <c r="AH74" s="619"/>
    </row>
    <row r="75" spans="1:34" s="620" customFormat="1" ht="24">
      <c r="A75" s="947"/>
      <c r="B75" s="947">
        <v>2030502</v>
      </c>
      <c r="C75" s="949">
        <v>0.1</v>
      </c>
      <c r="D75" s="273" t="s">
        <v>948</v>
      </c>
      <c r="E75" s="925">
        <f>'11.2. Нови активи отч.год.'!E76</f>
        <v>1.6</v>
      </c>
      <c r="F75" s="983">
        <f>($F26*$C75)/$E$6</f>
        <v>14</v>
      </c>
      <c r="G75" s="984">
        <f>($F26*$C75)+($G26*$C75)/$E$6</f>
        <v>31</v>
      </c>
      <c r="H75" s="984">
        <f>($F26*$C75)+($G26*$C75)+($H26*$C75)/$E$6</f>
        <v>36</v>
      </c>
      <c r="I75" s="984">
        <f>($F26*$C75)+($G26*$C75)+($H26*$C75)+($I26*$C75)/$E$6</f>
        <v>41</v>
      </c>
      <c r="J75" s="984">
        <f>($F26*$C75)+($G26*$C75)+($H26*$C75)+($I26*$C75)+($J26*$C75)/$E$6</f>
        <v>45</v>
      </c>
      <c r="K75" s="985">
        <f>($F26*$C75)+($G26*$C75)+($H26*$C75)+($I26*$C75)+($J26*$C75)+($K26*$C75)/$E$6</f>
        <v>48</v>
      </c>
      <c r="L75" s="925">
        <f>'11.2. Нови активи отч.год.'!L76</f>
        <v>0</v>
      </c>
      <c r="M75" s="986">
        <f>($M26*$C75)/$E$6</f>
        <v>0</v>
      </c>
      <c r="N75" s="984">
        <f>($M26*$C75)+($N26*$C75)/$E$6</f>
        <v>0</v>
      </c>
      <c r="O75" s="984">
        <f>($M26*$C75)+($N26*$C75)+($O26*$C75)/$E$6</f>
        <v>0</v>
      </c>
      <c r="P75" s="984">
        <f>($M26*$C75)+($N26*$C75)+($O26*$C75)+($P26*$C75)/$E$6</f>
        <v>0</v>
      </c>
      <c r="Q75" s="985">
        <f>($M26*$C75)+($N26*$C75)+($O26*$C75)+($P26*$C75)+($Q26*$C75)/$E$6</f>
        <v>0</v>
      </c>
      <c r="R75" s="987">
        <f>($M26*$C75)+($N26*$C75)+($O26*$C75)+($P26*$C75)+($Q26*$C75)+($R26*$C75)/$E$6</f>
        <v>0</v>
      </c>
      <c r="S75" s="1732">
        <f>'11.2. Нови активи отч.год.'!S76</f>
        <v>0</v>
      </c>
      <c r="T75" s="2915">
        <f>($T26*$C75)/$E$6</f>
        <v>0</v>
      </c>
      <c r="U75" s="984">
        <f>($T26*$C75)+($U26*$C75)/$E$6</f>
        <v>0</v>
      </c>
      <c r="V75" s="984">
        <f>($T26*$C75)+($U26*$C75)+($V26*$C75)/$E$6</f>
        <v>0</v>
      </c>
      <c r="W75" s="984">
        <f>($T26*$C75)+($U26*$C75)+($V26*$C75)+($W26*$C75)/$E$6</f>
        <v>0</v>
      </c>
      <c r="X75" s="984">
        <f>($T26*$C75)+($U26*$C75)+($V26*$C75)+($W26*$C75)+($X26*$C75)/$E$6</f>
        <v>0</v>
      </c>
      <c r="Y75" s="985">
        <f>($T26*$C75)+($U26*$C75)+($V26*$C75)+($W26*$C75)+($X26*$C75)+($Y26*$C75)/$E$6</f>
        <v>0</v>
      </c>
      <c r="Z75" s="925">
        <f>'11.2. Нови активи отч.год.'!Z76</f>
        <v>1.6</v>
      </c>
      <c r="AA75" s="986">
        <f>($AA26*$C75)/$E$6</f>
        <v>0</v>
      </c>
      <c r="AB75" s="984">
        <f>($AA26*$C75)+($AB26*$C75)/$E$6</f>
        <v>0</v>
      </c>
      <c r="AC75" s="984">
        <f>($AA26*$C75)+($AB26*$C75)+($AC26*$C75)/$E$6</f>
        <v>0</v>
      </c>
      <c r="AD75" s="984">
        <f>($AA26*$C75)+($AB26*$C75)+($AC26*$C75)+($AD26*$C75)/$E$6</f>
        <v>0</v>
      </c>
      <c r="AE75" s="984">
        <f>($AA26*$C75)+($AB26*$C75)+($AC26*$C75)+($AD26*$C75)+($AE26*$C75)/$E$6</f>
        <v>0</v>
      </c>
      <c r="AF75" s="987">
        <f>($AA26*$C75)+($AB26*$C75)+($AC26*$C75)+($AD26*$C75)+($AE26*$C75)+($AF26*$C75)/$E$6</f>
        <v>0</v>
      </c>
      <c r="AG75" s="618"/>
      <c r="AH75" s="619"/>
    </row>
    <row r="76" spans="1:34" s="620" customFormat="1">
      <c r="A76" s="947"/>
      <c r="B76" s="947">
        <v>2030503</v>
      </c>
      <c r="C76" s="949">
        <v>0.1</v>
      </c>
      <c r="D76" s="273" t="s">
        <v>966</v>
      </c>
      <c r="E76" s="925">
        <f>'11.2. Нови активи отч.год.'!E77</f>
        <v>0.5</v>
      </c>
      <c r="F76" s="983">
        <f>($F27*$C76)/$E$6</f>
        <v>9.1</v>
      </c>
      <c r="G76" s="984">
        <f>($F27*$C76)+($G27*$C76)/$E$6</f>
        <v>20.7</v>
      </c>
      <c r="H76" s="984">
        <f>($F27*$C76)+($G27*$C76)+($H27*$C76)/$E$6</f>
        <v>25.7</v>
      </c>
      <c r="I76" s="984">
        <f>($F27*$C76)+($G27*$C76)+($H27*$C76)+($I27*$C76)/$E$6</f>
        <v>30.7</v>
      </c>
      <c r="J76" s="984">
        <f>($F27*$C76)+($G27*$C76)+($H27*$C76)+($I27*$C76)+($J27*$C76)/$E$6</f>
        <v>35.700000000000003</v>
      </c>
      <c r="K76" s="985">
        <f>($F27*$C76)+($G27*$C76)+($H27*$C76)+($I27*$C76)+($J27*$C76)+($K27*$C76)/$E$6</f>
        <v>40.700000000000003</v>
      </c>
      <c r="L76" s="925">
        <f>'11.2. Нови активи отч.год.'!L77</f>
        <v>0</v>
      </c>
      <c r="M76" s="986">
        <f>($M27*$C76)/$E$6</f>
        <v>0</v>
      </c>
      <c r="N76" s="984">
        <f>($M27*$C76)+($N27*$C76)/$E$6</f>
        <v>0</v>
      </c>
      <c r="O76" s="984">
        <f>($M27*$C76)+($N27*$C76)+($O27*$C76)/$E$6</f>
        <v>0</v>
      </c>
      <c r="P76" s="984">
        <f>($M27*$C76)+($N27*$C76)+($O27*$C76)+($P27*$C76)/$E$6</f>
        <v>0</v>
      </c>
      <c r="Q76" s="985">
        <f>($M27*$C76)+($N27*$C76)+($O27*$C76)+($P27*$C76)+($Q27*$C76)/$E$6</f>
        <v>0</v>
      </c>
      <c r="R76" s="987">
        <f>($M27*$C76)+($N27*$C76)+($O27*$C76)+($P27*$C76)+($Q27*$C76)+($R27*$C76)/$E$6</f>
        <v>0</v>
      </c>
      <c r="S76" s="1732">
        <f>'11.2. Нови активи отч.год.'!S77</f>
        <v>0</v>
      </c>
      <c r="T76" s="2915">
        <f>($T27*$C76)/$E$6</f>
        <v>0</v>
      </c>
      <c r="U76" s="984">
        <f>($T27*$C76)+($U27*$C76)/$E$6</f>
        <v>0</v>
      </c>
      <c r="V76" s="984">
        <f>($T27*$C76)+($U27*$C76)+($V27*$C76)/$E$6</f>
        <v>0</v>
      </c>
      <c r="W76" s="984">
        <f>($T27*$C76)+($U27*$C76)+($V27*$C76)+($W27*$C76)/$E$6</f>
        <v>0</v>
      </c>
      <c r="X76" s="984">
        <f>($T27*$C76)+($U27*$C76)+($V27*$C76)+($W27*$C76)+($X27*$C76)/$E$6</f>
        <v>0</v>
      </c>
      <c r="Y76" s="985">
        <f>($T27*$C76)+($U27*$C76)+($V27*$C76)+($W27*$C76)+($X27*$C76)+($Y27*$C76)/$E$6</f>
        <v>0</v>
      </c>
      <c r="Z76" s="925">
        <f>'11.2. Нови активи отч.год.'!Z77</f>
        <v>0.5</v>
      </c>
      <c r="AA76" s="986">
        <f>($AA27*$C76)/$E$6</f>
        <v>0</v>
      </c>
      <c r="AB76" s="984">
        <f>($AA27*$C76)+($AB27*$C76)/$E$6</f>
        <v>0</v>
      </c>
      <c r="AC76" s="984">
        <f>($AA27*$C76)+($AB27*$C76)+($AC27*$C76)/$E$6</f>
        <v>0</v>
      </c>
      <c r="AD76" s="984">
        <f>($AA27*$C76)+($AB27*$C76)+($AC27*$C76)+($AD27*$C76)/$E$6</f>
        <v>0</v>
      </c>
      <c r="AE76" s="984">
        <f>($AA27*$C76)+($AB27*$C76)+($AC27*$C76)+($AD27*$C76)+($AE27*$C76)/$E$6</f>
        <v>0</v>
      </c>
      <c r="AF76" s="987">
        <f>($AA27*$C76)+($AB27*$C76)+($AC27*$C76)+($AD27*$C76)+($AE27*$C76)+($AF27*$C76)/$E$6</f>
        <v>0</v>
      </c>
      <c r="AG76" s="618"/>
      <c r="AH76" s="619"/>
    </row>
    <row r="77" spans="1:34">
      <c r="A77" s="278"/>
      <c r="B77" s="278">
        <v>20306</v>
      </c>
      <c r="C77" s="1633">
        <v>0.1</v>
      </c>
      <c r="D77" s="1626" t="s">
        <v>581</v>
      </c>
      <c r="E77" s="925">
        <f>'11.2. Нови активи отч.год.'!E78</f>
        <v>2.2999999999999998</v>
      </c>
      <c r="F77" s="893">
        <f>($F28*$C77)/$E$6</f>
        <v>25.900000000000002</v>
      </c>
      <c r="G77" s="882">
        <f>($F28*$C77)+($G28*$C77)/$E$6</f>
        <v>52.750000000000007</v>
      </c>
      <c r="H77" s="882">
        <f>($F28*$C77)+($G28*$C77)+($H28*$C77)/$E$6</f>
        <v>54.650000000000006</v>
      </c>
      <c r="I77" s="882">
        <f>($F28*$C77)+($G28*$C77)+($H28*$C77)+($I28*$C77)/$E$6</f>
        <v>56.550000000000004</v>
      </c>
      <c r="J77" s="882">
        <f>($F28*$C77)+($G28*$C77)+($H28*$C77)+($I28*$C77)+($J28*$C77)/$E$6</f>
        <v>58.45</v>
      </c>
      <c r="K77" s="981">
        <f>($F28*$C77)+($G28*$C77)+($H28*$C77)+($I28*$C77)+($J28*$C77)+($K28*$C77)/$E$6</f>
        <v>60.35</v>
      </c>
      <c r="L77" s="925">
        <f>'11.2. Нови активи отч.год.'!L78</f>
        <v>0</v>
      </c>
      <c r="M77" s="881">
        <f>($M28*$C77)/$E$6</f>
        <v>0</v>
      </c>
      <c r="N77" s="882">
        <f>($M28*$C77)+($N28*$C77)/$E$6</f>
        <v>0</v>
      </c>
      <c r="O77" s="882">
        <f>($M28*$C77)+($N28*$C77)+($O28*$C77)/$E$6</f>
        <v>0</v>
      </c>
      <c r="P77" s="882">
        <f>($M28*$C77)+($N28*$C77)+($O28*$C77)+($P28*$C77)/$E$6</f>
        <v>0</v>
      </c>
      <c r="Q77" s="981">
        <f>($M28*$C77)+($N28*$C77)+($O28*$C77)+($P28*$C77)+($Q28*$C77)/$E$6</f>
        <v>0</v>
      </c>
      <c r="R77" s="883">
        <f>($M28*$C77)+($N28*$C77)+($O28*$C77)+($P28*$C77)+($Q28*$C77)+($R28*$C77)/$E$6</f>
        <v>0</v>
      </c>
      <c r="S77" s="1732">
        <f>'11.2. Нови активи отч.год.'!S78</f>
        <v>0</v>
      </c>
      <c r="T77" s="928">
        <f>($T28*$C77)/$E$6</f>
        <v>0.5</v>
      </c>
      <c r="U77" s="882">
        <f>($T28*$C77)+($U28*$C77)/$E$6</f>
        <v>1.5</v>
      </c>
      <c r="V77" s="882">
        <f>($T28*$C77)+($U28*$C77)+($V28*$C77)/$E$6</f>
        <v>2.5</v>
      </c>
      <c r="W77" s="882">
        <f>($T28*$C77)+($U28*$C77)+($V28*$C77)+($W28*$C77)/$E$6</f>
        <v>3.5</v>
      </c>
      <c r="X77" s="882">
        <f>($T28*$C77)+($U28*$C77)+($V28*$C77)+($W28*$C77)+($X28*$C77)/$E$6</f>
        <v>4.5</v>
      </c>
      <c r="Y77" s="981">
        <f>($T28*$C77)+($U28*$C77)+($V28*$C77)+($W28*$C77)+($X28*$C77)+($Y28*$C77)/$E$6</f>
        <v>5.5</v>
      </c>
      <c r="Z77" s="1732">
        <f>'11.2. Нови активи отч.год.'!Z78</f>
        <v>2.2999999999999998</v>
      </c>
      <c r="AA77" s="881">
        <f>($AA28*$C77)/$E$6</f>
        <v>0</v>
      </c>
      <c r="AB77" s="882">
        <f>($AA28*$C77)+($AB28*$C77)/$E$6</f>
        <v>0</v>
      </c>
      <c r="AC77" s="882">
        <f>($AA28*$C77)+($AB28*$C77)+($AC28*$C77)/$E$6</f>
        <v>0</v>
      </c>
      <c r="AD77" s="882">
        <f>($AA28*$C77)+($AB28*$C77)+($AC28*$C77)+($AD28*$C77)/$E$6</f>
        <v>0</v>
      </c>
      <c r="AE77" s="882">
        <f>($AA28*$C77)+($AB28*$C77)+($AC28*$C77)+($AD28*$C77)+($AE28*$C77)/$E$6</f>
        <v>0</v>
      </c>
      <c r="AF77" s="883">
        <f>($AA28*$C77)+($AB28*$C77)+($AC28*$C77)+($AD28*$C77)+($AE28*$C77)+($AF28*$C77)/$E$6</f>
        <v>0</v>
      </c>
      <c r="AG77" s="307"/>
      <c r="AH77" s="566"/>
    </row>
    <row r="78" spans="1:34" ht="14.25" customHeight="1">
      <c r="A78" s="934">
        <v>4</v>
      </c>
      <c r="B78" s="934">
        <v>204</v>
      </c>
      <c r="C78" s="1809"/>
      <c r="D78" s="1816" t="s">
        <v>274</v>
      </c>
      <c r="E78" s="980">
        <f>E79+E82+E91+E92</f>
        <v>1.9000000000000001</v>
      </c>
      <c r="F78" s="974">
        <f t="shared" ref="F78:AF78" si="27">F79+F82+F91+F92</f>
        <v>16.3</v>
      </c>
      <c r="G78" s="975">
        <f t="shared" si="27"/>
        <v>39.5</v>
      </c>
      <c r="H78" s="975">
        <f t="shared" si="27"/>
        <v>53</v>
      </c>
      <c r="I78" s="975">
        <f t="shared" si="27"/>
        <v>65.599999999999994</v>
      </c>
      <c r="J78" s="975">
        <f t="shared" si="27"/>
        <v>78</v>
      </c>
      <c r="K78" s="976">
        <f t="shared" si="27"/>
        <v>90.199999999999989</v>
      </c>
      <c r="L78" s="977">
        <f t="shared" si="27"/>
        <v>0</v>
      </c>
      <c r="M78" s="974">
        <f t="shared" si="27"/>
        <v>0.55000000000000004</v>
      </c>
      <c r="N78" s="975">
        <f t="shared" si="27"/>
        <v>1.53</v>
      </c>
      <c r="O78" s="975">
        <f t="shared" si="27"/>
        <v>2.34</v>
      </c>
      <c r="P78" s="975">
        <f t="shared" si="27"/>
        <v>3.4399999999999995</v>
      </c>
      <c r="Q78" s="975">
        <f t="shared" si="27"/>
        <v>4.7700000000000005</v>
      </c>
      <c r="R78" s="978">
        <f t="shared" si="27"/>
        <v>5.81</v>
      </c>
      <c r="S78" s="977">
        <f t="shared" si="27"/>
        <v>0</v>
      </c>
      <c r="T78" s="979">
        <f t="shared" si="27"/>
        <v>0</v>
      </c>
      <c r="U78" s="975">
        <f t="shared" si="27"/>
        <v>0.78</v>
      </c>
      <c r="V78" s="975">
        <f t="shared" si="27"/>
        <v>2.2400000000000002</v>
      </c>
      <c r="W78" s="975">
        <f t="shared" si="27"/>
        <v>3.84</v>
      </c>
      <c r="X78" s="975">
        <f t="shared" si="27"/>
        <v>5.38</v>
      </c>
      <c r="Y78" s="978">
        <f t="shared" si="27"/>
        <v>6.82</v>
      </c>
      <c r="Z78" s="977">
        <f t="shared" si="27"/>
        <v>1.9000000000000001</v>
      </c>
      <c r="AA78" s="979">
        <f t="shared" si="27"/>
        <v>0</v>
      </c>
      <c r="AB78" s="975">
        <f t="shared" si="27"/>
        <v>0</v>
      </c>
      <c r="AC78" s="975">
        <f t="shared" si="27"/>
        <v>0</v>
      </c>
      <c r="AD78" s="975">
        <f t="shared" si="27"/>
        <v>0</v>
      </c>
      <c r="AE78" s="975">
        <f t="shared" si="27"/>
        <v>0</v>
      </c>
      <c r="AF78" s="978">
        <f t="shared" si="27"/>
        <v>0</v>
      </c>
      <c r="AG78" s="307"/>
      <c r="AH78" s="566"/>
    </row>
    <row r="79" spans="1:34">
      <c r="A79" s="278"/>
      <c r="B79" s="278">
        <v>20401</v>
      </c>
      <c r="C79" s="1637"/>
      <c r="D79" s="1638" t="s">
        <v>589</v>
      </c>
      <c r="E79" s="941">
        <f t="shared" ref="E79:AF79" si="28">SUM(E80:E81)</f>
        <v>0.3</v>
      </c>
      <c r="F79" s="942">
        <f t="shared" si="28"/>
        <v>0</v>
      </c>
      <c r="G79" s="943">
        <f t="shared" si="28"/>
        <v>0</v>
      </c>
      <c r="H79" s="943">
        <f t="shared" si="28"/>
        <v>0</v>
      </c>
      <c r="I79" s="943">
        <f t="shared" si="28"/>
        <v>0</v>
      </c>
      <c r="J79" s="943">
        <f t="shared" si="28"/>
        <v>0</v>
      </c>
      <c r="K79" s="982">
        <f t="shared" si="28"/>
        <v>0</v>
      </c>
      <c r="L79" s="945">
        <f t="shared" si="28"/>
        <v>0</v>
      </c>
      <c r="M79" s="942">
        <f t="shared" si="28"/>
        <v>0</v>
      </c>
      <c r="N79" s="943">
        <f t="shared" si="28"/>
        <v>0</v>
      </c>
      <c r="O79" s="943">
        <f t="shared" si="28"/>
        <v>0</v>
      </c>
      <c r="P79" s="943">
        <f t="shared" si="28"/>
        <v>0</v>
      </c>
      <c r="Q79" s="943">
        <f t="shared" si="28"/>
        <v>0</v>
      </c>
      <c r="R79" s="944">
        <f t="shared" si="28"/>
        <v>0</v>
      </c>
      <c r="S79" s="945">
        <f t="shared" si="28"/>
        <v>0</v>
      </c>
      <c r="T79" s="946">
        <f t="shared" si="28"/>
        <v>0</v>
      </c>
      <c r="U79" s="943">
        <f t="shared" si="28"/>
        <v>0</v>
      </c>
      <c r="V79" s="943">
        <f t="shared" si="28"/>
        <v>0</v>
      </c>
      <c r="W79" s="943">
        <f t="shared" si="28"/>
        <v>0</v>
      </c>
      <c r="X79" s="943">
        <f t="shared" si="28"/>
        <v>0</v>
      </c>
      <c r="Y79" s="944">
        <f t="shared" si="28"/>
        <v>0</v>
      </c>
      <c r="Z79" s="945">
        <f t="shared" si="28"/>
        <v>0.3</v>
      </c>
      <c r="AA79" s="946">
        <f t="shared" si="28"/>
        <v>0</v>
      </c>
      <c r="AB79" s="943">
        <f t="shared" si="28"/>
        <v>0</v>
      </c>
      <c r="AC79" s="943">
        <f t="shared" si="28"/>
        <v>0</v>
      </c>
      <c r="AD79" s="943">
        <f t="shared" si="28"/>
        <v>0</v>
      </c>
      <c r="AE79" s="943">
        <f t="shared" si="28"/>
        <v>0</v>
      </c>
      <c r="AF79" s="944">
        <f t="shared" si="28"/>
        <v>0</v>
      </c>
      <c r="AG79" s="307"/>
      <c r="AH79" s="566"/>
    </row>
    <row r="80" spans="1:34" s="620" customFormat="1">
      <c r="A80" s="947"/>
      <c r="B80" s="947">
        <v>2040101</v>
      </c>
      <c r="C80" s="1813">
        <v>0.1</v>
      </c>
      <c r="D80" s="1817" t="s">
        <v>603</v>
      </c>
      <c r="E80" s="925">
        <f>'11.2. Нови активи отч.год.'!E81</f>
        <v>0.3</v>
      </c>
      <c r="F80" s="983">
        <f>($F31*$C80)/$E$6</f>
        <v>0</v>
      </c>
      <c r="G80" s="984">
        <f>($F31*$C80)+($G31*$C80)/$E$6</f>
        <v>0</v>
      </c>
      <c r="H80" s="984">
        <f>($F31*$C80)+($G31*$C80)+($H31*$C80)/$E$6</f>
        <v>0</v>
      </c>
      <c r="I80" s="984">
        <f>($F31*$C80)+($G31*$C80)+($H31*$C80)+($I31*$C80)/$E$6</f>
        <v>0</v>
      </c>
      <c r="J80" s="984">
        <f>($F31*$C80)+($G31*$C80)+($H31*$C80)+($I31*$C80)+($J31*$C80)/$E$6</f>
        <v>0</v>
      </c>
      <c r="K80" s="985">
        <f>($F31*$C80)+($G31*$C80)+($H31*$C80)+($I31*$C80)+($J31*$C80)+($K31*$C80)/$E$6</f>
        <v>0</v>
      </c>
      <c r="L80" s="925">
        <f>'11.2. Нови активи отч.год.'!L81</f>
        <v>0</v>
      </c>
      <c r="M80" s="986">
        <f>($M31*$C80)/$E$6</f>
        <v>0</v>
      </c>
      <c r="N80" s="984">
        <f>($M31*$C80)+($N31*$C80)/$E$6</f>
        <v>0</v>
      </c>
      <c r="O80" s="984">
        <f>($M31*$C80)+($N31*$C80)+($O31*$C80)/$E$6</f>
        <v>0</v>
      </c>
      <c r="P80" s="984">
        <f>($M31*$C80)+($N31*$C80)+($O31*$C80)+($P31*$C80)/$E$6</f>
        <v>0</v>
      </c>
      <c r="Q80" s="985">
        <f>($M31*$C80)+($N31*$C80)+($O31*$C80)+($P31*$C80)+($Q31*$C80)/$E$6</f>
        <v>0</v>
      </c>
      <c r="R80" s="987">
        <f>($M31*$C80)+($N31*$C80)+($O31*$C80)+($P31*$C80)+($Q31*$C80)+($R31*$C80)/$E$6</f>
        <v>0</v>
      </c>
      <c r="S80" s="1732">
        <f>'11.2. Нови активи отч.год.'!S81</f>
        <v>0</v>
      </c>
      <c r="T80" s="2915">
        <f>($T31*$C80)/$E$6</f>
        <v>0</v>
      </c>
      <c r="U80" s="984">
        <f>($T31*$C80)+($U31*$C80)/$E$6</f>
        <v>0</v>
      </c>
      <c r="V80" s="984">
        <f>($T31*$C80)+($U31*$C80)+($V31*$C80)/$E$6</f>
        <v>0</v>
      </c>
      <c r="W80" s="984">
        <f>($T31*$C80)+($U31*$C80)+($V31*$C80)+($W31*$C80)/$E$6</f>
        <v>0</v>
      </c>
      <c r="X80" s="984">
        <f>($T31*$C80)+($U31*$C80)+($V31*$C80)+($W31*$C80)+($X31*$C80)/$E$6</f>
        <v>0</v>
      </c>
      <c r="Y80" s="985">
        <f>($T31*$C80)+($U31*$C80)+($V31*$C80)+($W31*$C80)+($X31*$C80)+($Y31*$C80)/$E$6</f>
        <v>0</v>
      </c>
      <c r="Z80" s="1732">
        <f>'11.2. Нови активи отч.год.'!Z81</f>
        <v>0.3</v>
      </c>
      <c r="AA80" s="986">
        <f>($AA31*$C80)/$E$6</f>
        <v>0</v>
      </c>
      <c r="AB80" s="984">
        <f>($AA31*$C80)+($AB31*$C80)/$E$6</f>
        <v>0</v>
      </c>
      <c r="AC80" s="984">
        <f>($AA31*$C80)+($AB31*$C80)+($AC31*$C80)/$E$6</f>
        <v>0</v>
      </c>
      <c r="AD80" s="984">
        <f>($AA31*$C80)+($AB31*$C80)+($AC31*$C80)+($AD31*$C80)/$E$6</f>
        <v>0</v>
      </c>
      <c r="AE80" s="984">
        <f>($AA31*$C80)+($AB31*$C80)+($AC31*$C80)+($AD31*$C80)+($AE31*$C80)/$E$6</f>
        <v>0</v>
      </c>
      <c r="AF80" s="987">
        <f>($AA31*$C80)+($AB31*$C80)+($AC31*$C80)+($AD31*$C80)+($AE31*$C80)+($AF31*$C80)/$E$6</f>
        <v>0</v>
      </c>
      <c r="AG80" s="618"/>
      <c r="AH80" s="619"/>
    </row>
    <row r="81" spans="1:34" s="620" customFormat="1">
      <c r="A81" s="947"/>
      <c r="B81" s="947">
        <v>2040102</v>
      </c>
      <c r="C81" s="1813">
        <v>0.04</v>
      </c>
      <c r="D81" s="1817" t="s">
        <v>604</v>
      </c>
      <c r="E81" s="925">
        <f>'11.2. Нови активи отч.год.'!E82</f>
        <v>0</v>
      </c>
      <c r="F81" s="983">
        <f>($F32*$C81)/$E$6</f>
        <v>0</v>
      </c>
      <c r="G81" s="984">
        <f>($F32*$C81)+($G32*$C81)/$E$6</f>
        <v>0</v>
      </c>
      <c r="H81" s="984">
        <f>($F32*$C81)+($G32*$C81)+($H32*$C81)/$E$6</f>
        <v>0</v>
      </c>
      <c r="I81" s="984">
        <f>($F32*$C81)+($G32*$C81)+($H32*$C81)+($I32*$C81)/$E$6</f>
        <v>0</v>
      </c>
      <c r="J81" s="984">
        <f>($F32*$C81)+($G32*$C81)+($H32*$C81)+($I32*$C81)+($J32*$C81)/$E$6</f>
        <v>0</v>
      </c>
      <c r="K81" s="985">
        <f>($F32*$C81)+($G32*$C81)+($H32*$C81)+($I32*$C81)+($J32*$C81)+($K32*$C81)/$E$6</f>
        <v>0</v>
      </c>
      <c r="L81" s="925">
        <f>'11.2. Нови активи отч.год.'!L82</f>
        <v>0</v>
      </c>
      <c r="M81" s="986">
        <f>($M32*$C81)/$E$6</f>
        <v>0</v>
      </c>
      <c r="N81" s="984">
        <f>($M32*$C81)+($N32*$C81)/$E$6</f>
        <v>0</v>
      </c>
      <c r="O81" s="984">
        <f>($M32*$C81)+($N32*$C81)+($O32*$C81)/$E$6</f>
        <v>0</v>
      </c>
      <c r="P81" s="984">
        <f>($M32*$C81)+($N32*$C81)+($O32*$C81)+($P32*$C81)/$E$6</f>
        <v>0</v>
      </c>
      <c r="Q81" s="985">
        <f>($M32*$C81)+($N32*$C81)+($O32*$C81)+($P32*$C81)+($Q32*$C81)/$E$6</f>
        <v>0</v>
      </c>
      <c r="R81" s="987">
        <f>($M32*$C81)+($N32*$C81)+($O32*$C81)+($P32*$C81)+($Q32*$C81)+($R32*$C81)/$E$6</f>
        <v>0</v>
      </c>
      <c r="S81" s="1732">
        <f>'11.2. Нови активи отч.год.'!S82</f>
        <v>0</v>
      </c>
      <c r="T81" s="2915">
        <f>($T32*$C81)/$E$6</f>
        <v>0</v>
      </c>
      <c r="U81" s="984">
        <f>($T32*$C81)+($U32*$C81)/$E$6</f>
        <v>0</v>
      </c>
      <c r="V81" s="984">
        <f>($T32*$C81)+($U32*$C81)+($V32*$C81)/$E$6</f>
        <v>0</v>
      </c>
      <c r="W81" s="984">
        <f>($T32*$C81)+($U32*$C81)+($V32*$C81)+($W32*$C81)/$E$6</f>
        <v>0</v>
      </c>
      <c r="X81" s="984">
        <f>($T32*$C81)+($U32*$C81)+($V32*$C81)+($W32*$C81)+($X32*$C81)/$E$6</f>
        <v>0</v>
      </c>
      <c r="Y81" s="985">
        <f>($T32*$C81)+($U32*$C81)+($V32*$C81)+($W32*$C81)+($X32*$C81)+($Y32*$C81)/$E$6</f>
        <v>0</v>
      </c>
      <c r="Z81" s="1732">
        <f>'11.2. Нови активи отч.год.'!Z82</f>
        <v>0</v>
      </c>
      <c r="AA81" s="986">
        <f>($AA32*$C81)/$E$6</f>
        <v>0</v>
      </c>
      <c r="AB81" s="984">
        <f>($AA32*$C81)+($AB32*$C81)/$E$6</f>
        <v>0</v>
      </c>
      <c r="AC81" s="984">
        <f>($AA32*$C81)+($AB32*$C81)+($AC32*$C81)/$E$6</f>
        <v>0</v>
      </c>
      <c r="AD81" s="984">
        <f>($AA32*$C81)+($AB32*$C81)+($AC32*$C81)+($AD32*$C81)/$E$6</f>
        <v>0</v>
      </c>
      <c r="AE81" s="984">
        <f>($AA32*$C81)+($AB32*$C81)+($AC32*$C81)+($AD32*$C81)+($AE32*$C81)/$E$6</f>
        <v>0</v>
      </c>
      <c r="AF81" s="987">
        <f>($AA32*$C81)+($AB32*$C81)+($AC32*$C81)+($AD32*$C81)+($AE32*$C81)+($AF32*$C81)/$E$6</f>
        <v>0</v>
      </c>
      <c r="AG81" s="618"/>
      <c r="AH81" s="619"/>
    </row>
    <row r="82" spans="1:34">
      <c r="A82" s="278"/>
      <c r="B82" s="278">
        <v>20402</v>
      </c>
      <c r="C82" s="1637"/>
      <c r="D82" s="1638" t="s">
        <v>605</v>
      </c>
      <c r="E82" s="941">
        <f>SUM(E83:E90)</f>
        <v>1.6</v>
      </c>
      <c r="F82" s="942">
        <f t="shared" ref="F82:AF82" si="29">SUM(F83:F90)</f>
        <v>16.3</v>
      </c>
      <c r="G82" s="943">
        <f t="shared" si="29"/>
        <v>39.5</v>
      </c>
      <c r="H82" s="943">
        <f t="shared" si="29"/>
        <v>53</v>
      </c>
      <c r="I82" s="943">
        <f t="shared" si="29"/>
        <v>65.599999999999994</v>
      </c>
      <c r="J82" s="943">
        <f t="shared" si="29"/>
        <v>78</v>
      </c>
      <c r="K82" s="982">
        <f t="shared" si="29"/>
        <v>90.199999999999989</v>
      </c>
      <c r="L82" s="945">
        <f t="shared" si="29"/>
        <v>0</v>
      </c>
      <c r="M82" s="942">
        <f t="shared" si="29"/>
        <v>0.55000000000000004</v>
      </c>
      <c r="N82" s="943">
        <f t="shared" si="29"/>
        <v>1.53</v>
      </c>
      <c r="O82" s="943">
        <f t="shared" si="29"/>
        <v>2.34</v>
      </c>
      <c r="P82" s="943">
        <f t="shared" si="29"/>
        <v>3.4399999999999995</v>
      </c>
      <c r="Q82" s="943">
        <f t="shared" si="29"/>
        <v>4.7700000000000005</v>
      </c>
      <c r="R82" s="944">
        <f t="shared" si="29"/>
        <v>5.81</v>
      </c>
      <c r="S82" s="945">
        <f t="shared" si="29"/>
        <v>0</v>
      </c>
      <c r="T82" s="946">
        <f t="shared" si="29"/>
        <v>0</v>
      </c>
      <c r="U82" s="943">
        <f t="shared" si="29"/>
        <v>0.78</v>
      </c>
      <c r="V82" s="943">
        <f t="shared" si="29"/>
        <v>2.2400000000000002</v>
      </c>
      <c r="W82" s="943">
        <f t="shared" si="29"/>
        <v>3.84</v>
      </c>
      <c r="X82" s="943">
        <f t="shared" si="29"/>
        <v>5.38</v>
      </c>
      <c r="Y82" s="944">
        <f t="shared" si="29"/>
        <v>6.82</v>
      </c>
      <c r="Z82" s="945">
        <f t="shared" si="29"/>
        <v>1.6</v>
      </c>
      <c r="AA82" s="946">
        <f t="shared" si="29"/>
        <v>0</v>
      </c>
      <c r="AB82" s="943">
        <f t="shared" si="29"/>
        <v>0</v>
      </c>
      <c r="AC82" s="943">
        <f t="shared" si="29"/>
        <v>0</v>
      </c>
      <c r="AD82" s="943">
        <f t="shared" si="29"/>
        <v>0</v>
      </c>
      <c r="AE82" s="943">
        <f t="shared" si="29"/>
        <v>0</v>
      </c>
      <c r="AF82" s="944">
        <f t="shared" si="29"/>
        <v>0</v>
      </c>
      <c r="AG82" s="307"/>
      <c r="AH82" s="566"/>
    </row>
    <row r="83" spans="1:34" s="620" customFormat="1">
      <c r="A83" s="947"/>
      <c r="B83" s="947">
        <v>2040201</v>
      </c>
      <c r="C83" s="1815">
        <v>0.02</v>
      </c>
      <c r="D83" s="1814" t="s">
        <v>1007</v>
      </c>
      <c r="E83" s="925">
        <f>'11.2. Нови активи отч.год.'!E84</f>
        <v>0</v>
      </c>
      <c r="F83" s="983">
        <f t="shared" ref="F83:F90" si="30">($F34*$C83)/$E$6</f>
        <v>0</v>
      </c>
      <c r="G83" s="984">
        <f t="shared" ref="G83:G90" si="31">($F34*$C83)+($G34*$C83)/$E$6</f>
        <v>0</v>
      </c>
      <c r="H83" s="984">
        <f t="shared" ref="H83:H90" si="32">($F34*$C83)+($G34*$C83)+($H34*$C83)/$E$6</f>
        <v>0</v>
      </c>
      <c r="I83" s="984">
        <f t="shared" ref="I83:I90" si="33">($F34*$C83)+($G34*$C83)+($H34*$C83)+($I34*$C83)/$E$6</f>
        <v>0</v>
      </c>
      <c r="J83" s="984">
        <f t="shared" ref="J83:J90" si="34">($F34*$C83)+($G34*$C83)+($H34*$C83)+($I34*$C83)+($J34*$C83)/$E$6</f>
        <v>0</v>
      </c>
      <c r="K83" s="985">
        <f t="shared" ref="K83:K90" si="35">($F34*$C83)+($G34*$C83)+($H34*$C83)+($I34*$C83)+($J34*$C83)+($K34*$C83)/$E$6</f>
        <v>0</v>
      </c>
      <c r="L83" s="925">
        <f>'11.2. Нови активи отч.год.'!L84</f>
        <v>0</v>
      </c>
      <c r="M83" s="986">
        <f t="shared" ref="M83:M90" si="36">($M34*$C83)/$E$6</f>
        <v>0</v>
      </c>
      <c r="N83" s="984">
        <f t="shared" ref="N83:N90" si="37">($M34*$C83)+($N34*$C83)/$E$6</f>
        <v>0</v>
      </c>
      <c r="O83" s="984">
        <f t="shared" ref="O83:O90" si="38">($M34*$C83)+($N34*$C83)+($O34*$C83)/$E$6</f>
        <v>0</v>
      </c>
      <c r="P83" s="984">
        <f t="shared" ref="P83:P90" si="39">($M34*$C83)+($N34*$C83)+($O34*$C83)+($P34*$C83)/$E$6</f>
        <v>0</v>
      </c>
      <c r="Q83" s="985">
        <f t="shared" ref="Q83:Q90" si="40">($M34*$C83)+($N34*$C83)+($O34*$C83)+($P34*$C83)+($Q34*$C83)/$E$6</f>
        <v>0</v>
      </c>
      <c r="R83" s="987">
        <f t="shared" ref="R83:R90" si="41">($M34*$C83)+($N34*$C83)+($O34*$C83)+($P34*$C83)+($Q34*$C83)+($R34*$C83)/$E$6</f>
        <v>0</v>
      </c>
      <c r="S83" s="1732">
        <f>'11.2. Нови активи отч.год.'!S84</f>
        <v>0</v>
      </c>
      <c r="T83" s="2915">
        <f t="shared" ref="T83:T90" si="42">($T34*$C83)/$E$6</f>
        <v>0</v>
      </c>
      <c r="U83" s="984">
        <f t="shared" ref="U83:U90" si="43">($T34*$C83)+($U34*$C83)/$E$6</f>
        <v>0</v>
      </c>
      <c r="V83" s="984">
        <f t="shared" ref="V83:V90" si="44">($T34*$C83)+($U34*$C83)+($V34*$C83)/$E$6</f>
        <v>0</v>
      </c>
      <c r="W83" s="984">
        <f t="shared" ref="W83:W90" si="45">($T34*$C83)+($U34*$C83)+($V34*$C83)+($W34*$C83)/$E$6</f>
        <v>0</v>
      </c>
      <c r="X83" s="984">
        <f t="shared" ref="X83:X90" si="46">($T34*$C83)+($U34*$C83)+($V34*$C83)+($W34*$C83)+($X34*$C83)/$E$6</f>
        <v>0</v>
      </c>
      <c r="Y83" s="985">
        <f t="shared" ref="Y83:Y90" si="47">($T34*$C83)+($U34*$C83)+($V34*$C83)+($W34*$C83)+($X34*$C83)+($Y34*$C83)/$E$6</f>
        <v>0</v>
      </c>
      <c r="Z83" s="1732">
        <f>'11.2. Нови активи отч.год.'!Z84</f>
        <v>0</v>
      </c>
      <c r="AA83" s="986">
        <f t="shared" ref="AA83:AA90" si="48">($AA34*$C83)/$E$6</f>
        <v>0</v>
      </c>
      <c r="AB83" s="984">
        <f t="shared" ref="AB83:AB90" si="49">($AA34*$C83)+($AB34*$C83)/$E$6</f>
        <v>0</v>
      </c>
      <c r="AC83" s="984">
        <f t="shared" ref="AC83:AC90" si="50">($AA34*$C83)+($AB34*$C83)+($AC34*$C83)/$E$6</f>
        <v>0</v>
      </c>
      <c r="AD83" s="984">
        <f t="shared" ref="AD83:AD90" si="51">($AA34*$C83)+($AB34*$C83)+($AC34*$C83)+($AD34*$C83)/$E$6</f>
        <v>0</v>
      </c>
      <c r="AE83" s="984">
        <f t="shared" ref="AE83:AE90" si="52">($AA34*$C83)+($AB34*$C83)+($AC34*$C83)+($AD34*$C83)+($AE34*$C83)/$E$6</f>
        <v>0</v>
      </c>
      <c r="AF83" s="987">
        <f t="shared" ref="AF83:AF90" si="53">($AA34*$C83)+($AB34*$C83)+($AC34*$C83)+($AD34*$C83)+($AE34*$C83)+($AF34*$C83)/$E$6</f>
        <v>0</v>
      </c>
      <c r="AG83" s="618"/>
      <c r="AH83" s="619"/>
    </row>
    <row r="84" spans="1:34" s="620" customFormat="1">
      <c r="A84" s="947"/>
      <c r="B84" s="947">
        <v>2040202</v>
      </c>
      <c r="C84" s="1815">
        <v>0.02</v>
      </c>
      <c r="D84" s="1814" t="s">
        <v>1008</v>
      </c>
      <c r="E84" s="925">
        <f>'11.2. Нови активи отч.год.'!E85</f>
        <v>1.6</v>
      </c>
      <c r="F84" s="983">
        <f t="shared" si="30"/>
        <v>0</v>
      </c>
      <c r="G84" s="984">
        <f t="shared" si="31"/>
        <v>0</v>
      </c>
      <c r="H84" s="984">
        <f t="shared" si="32"/>
        <v>0</v>
      </c>
      <c r="I84" s="984">
        <f t="shared" si="33"/>
        <v>0</v>
      </c>
      <c r="J84" s="984">
        <f t="shared" si="34"/>
        <v>0</v>
      </c>
      <c r="K84" s="985">
        <f t="shared" si="35"/>
        <v>0</v>
      </c>
      <c r="L84" s="925">
        <f>'11.2. Нови активи отч.год.'!L85</f>
        <v>0</v>
      </c>
      <c r="M84" s="986">
        <f t="shared" si="36"/>
        <v>0</v>
      </c>
      <c r="N84" s="984">
        <f t="shared" si="37"/>
        <v>0</v>
      </c>
      <c r="O84" s="984">
        <f t="shared" si="38"/>
        <v>0</v>
      </c>
      <c r="P84" s="984">
        <f t="shared" si="39"/>
        <v>0</v>
      </c>
      <c r="Q84" s="985">
        <f t="shared" si="40"/>
        <v>0</v>
      </c>
      <c r="R84" s="987">
        <f t="shared" si="41"/>
        <v>0</v>
      </c>
      <c r="S84" s="1732">
        <f>'11.2. Нови активи отч.год.'!S85</f>
        <v>0</v>
      </c>
      <c r="T84" s="2915">
        <f t="shared" si="42"/>
        <v>0</v>
      </c>
      <c r="U84" s="984">
        <f t="shared" si="43"/>
        <v>0</v>
      </c>
      <c r="V84" s="984">
        <f t="shared" si="44"/>
        <v>0</v>
      </c>
      <c r="W84" s="984">
        <f t="shared" si="45"/>
        <v>0</v>
      </c>
      <c r="X84" s="984">
        <f t="shared" si="46"/>
        <v>0</v>
      </c>
      <c r="Y84" s="985">
        <f t="shared" si="47"/>
        <v>0</v>
      </c>
      <c r="Z84" s="1732">
        <f>'11.2. Нови активи отч.год.'!Z85</f>
        <v>1.6</v>
      </c>
      <c r="AA84" s="986">
        <f t="shared" si="48"/>
        <v>0</v>
      </c>
      <c r="AB84" s="984">
        <f t="shared" si="49"/>
        <v>0</v>
      </c>
      <c r="AC84" s="984">
        <f t="shared" si="50"/>
        <v>0</v>
      </c>
      <c r="AD84" s="984">
        <f t="shared" si="51"/>
        <v>0</v>
      </c>
      <c r="AE84" s="984">
        <f t="shared" si="52"/>
        <v>0</v>
      </c>
      <c r="AF84" s="987">
        <f t="shared" si="53"/>
        <v>0</v>
      </c>
      <c r="AG84" s="618"/>
      <c r="AH84" s="619"/>
    </row>
    <row r="85" spans="1:34" s="620" customFormat="1">
      <c r="A85" s="947"/>
      <c r="B85" s="947">
        <v>2040203</v>
      </c>
      <c r="C85" s="1815">
        <v>0.02</v>
      </c>
      <c r="D85" s="1814" t="s">
        <v>590</v>
      </c>
      <c r="E85" s="925">
        <f>'11.2. Нови активи отч.год.'!E86</f>
        <v>0</v>
      </c>
      <c r="F85" s="983">
        <f t="shared" si="30"/>
        <v>0</v>
      </c>
      <c r="G85" s="984">
        <f t="shared" si="31"/>
        <v>0</v>
      </c>
      <c r="H85" s="984">
        <f t="shared" si="32"/>
        <v>0</v>
      </c>
      <c r="I85" s="984">
        <f t="shared" si="33"/>
        <v>0</v>
      </c>
      <c r="J85" s="984">
        <f t="shared" si="34"/>
        <v>0</v>
      </c>
      <c r="K85" s="985">
        <f t="shared" si="35"/>
        <v>0</v>
      </c>
      <c r="L85" s="925">
        <f>'11.2. Нови активи отч.год.'!L86</f>
        <v>0</v>
      </c>
      <c r="M85" s="986">
        <f t="shared" si="36"/>
        <v>0</v>
      </c>
      <c r="N85" s="984">
        <f t="shared" si="37"/>
        <v>0</v>
      </c>
      <c r="O85" s="984">
        <f t="shared" si="38"/>
        <v>0</v>
      </c>
      <c r="P85" s="984">
        <f t="shared" si="39"/>
        <v>0</v>
      </c>
      <c r="Q85" s="985">
        <f t="shared" si="40"/>
        <v>0</v>
      </c>
      <c r="R85" s="987">
        <f t="shared" si="41"/>
        <v>0</v>
      </c>
      <c r="S85" s="1732">
        <f>'11.2. Нови активи отч.год.'!S86</f>
        <v>0</v>
      </c>
      <c r="T85" s="2915">
        <f t="shared" si="42"/>
        <v>0</v>
      </c>
      <c r="U85" s="984">
        <f t="shared" si="43"/>
        <v>0</v>
      </c>
      <c r="V85" s="984">
        <f t="shared" si="44"/>
        <v>0</v>
      </c>
      <c r="W85" s="984">
        <f t="shared" si="45"/>
        <v>0</v>
      </c>
      <c r="X85" s="984">
        <f t="shared" si="46"/>
        <v>0</v>
      </c>
      <c r="Y85" s="985">
        <f t="shared" si="47"/>
        <v>0</v>
      </c>
      <c r="Z85" s="1732">
        <f>'11.2. Нови активи отч.год.'!Z86</f>
        <v>0</v>
      </c>
      <c r="AA85" s="986">
        <f t="shared" si="48"/>
        <v>0</v>
      </c>
      <c r="AB85" s="984">
        <f t="shared" si="49"/>
        <v>0</v>
      </c>
      <c r="AC85" s="984">
        <f t="shared" si="50"/>
        <v>0</v>
      </c>
      <c r="AD85" s="984">
        <f t="shared" si="51"/>
        <v>0</v>
      </c>
      <c r="AE85" s="984">
        <f t="shared" si="52"/>
        <v>0</v>
      </c>
      <c r="AF85" s="987">
        <f t="shared" si="53"/>
        <v>0</v>
      </c>
      <c r="AG85" s="618"/>
      <c r="AH85" s="619"/>
    </row>
    <row r="86" spans="1:34" s="620" customFormat="1">
      <c r="A86" s="947"/>
      <c r="B86" s="947">
        <v>2040204</v>
      </c>
      <c r="C86" s="1815">
        <v>0.02</v>
      </c>
      <c r="D86" s="1817" t="s">
        <v>591</v>
      </c>
      <c r="E86" s="925">
        <f>'11.2. Нови активи отч.год.'!E87</f>
        <v>0</v>
      </c>
      <c r="F86" s="983">
        <f t="shared" si="30"/>
        <v>0</v>
      </c>
      <c r="G86" s="984">
        <f t="shared" si="31"/>
        <v>0.1</v>
      </c>
      <c r="H86" s="984">
        <f t="shared" si="32"/>
        <v>0.30000000000000004</v>
      </c>
      <c r="I86" s="984">
        <f t="shared" si="33"/>
        <v>0.5</v>
      </c>
      <c r="J86" s="984">
        <f t="shared" si="34"/>
        <v>0.70000000000000007</v>
      </c>
      <c r="K86" s="985">
        <f t="shared" si="35"/>
        <v>0.9</v>
      </c>
      <c r="L86" s="925">
        <f>'11.2. Нови активи отч.год.'!L87</f>
        <v>0</v>
      </c>
      <c r="M86" s="986">
        <f t="shared" si="36"/>
        <v>0</v>
      </c>
      <c r="N86" s="984">
        <f t="shared" si="37"/>
        <v>0</v>
      </c>
      <c r="O86" s="984">
        <f t="shared" si="38"/>
        <v>0</v>
      </c>
      <c r="P86" s="984">
        <f t="shared" si="39"/>
        <v>0</v>
      </c>
      <c r="Q86" s="985">
        <f t="shared" si="40"/>
        <v>0</v>
      </c>
      <c r="R86" s="987">
        <f t="shared" si="41"/>
        <v>0</v>
      </c>
      <c r="S86" s="1732">
        <f>'11.2. Нови активи отч.год.'!S87</f>
        <v>0</v>
      </c>
      <c r="T86" s="2915">
        <f t="shared" si="42"/>
        <v>0</v>
      </c>
      <c r="U86" s="984">
        <f t="shared" si="43"/>
        <v>0</v>
      </c>
      <c r="V86" s="984">
        <f t="shared" si="44"/>
        <v>0</v>
      </c>
      <c r="W86" s="984">
        <f t="shared" si="45"/>
        <v>0</v>
      </c>
      <c r="X86" s="984">
        <f t="shared" si="46"/>
        <v>0</v>
      </c>
      <c r="Y86" s="985">
        <f t="shared" si="47"/>
        <v>0</v>
      </c>
      <c r="Z86" s="1732">
        <f>'11.2. Нови активи отч.год.'!Z87</f>
        <v>0</v>
      </c>
      <c r="AA86" s="986">
        <f t="shared" si="48"/>
        <v>0</v>
      </c>
      <c r="AB86" s="984">
        <f t="shared" si="49"/>
        <v>0</v>
      </c>
      <c r="AC86" s="984">
        <f t="shared" si="50"/>
        <v>0</v>
      </c>
      <c r="AD86" s="984">
        <f t="shared" si="51"/>
        <v>0</v>
      </c>
      <c r="AE86" s="984">
        <f t="shared" si="52"/>
        <v>0</v>
      </c>
      <c r="AF86" s="987">
        <f t="shared" si="53"/>
        <v>0</v>
      </c>
      <c r="AG86" s="618"/>
      <c r="AH86" s="619"/>
    </row>
    <row r="87" spans="1:34" s="620" customFormat="1">
      <c r="A87" s="947"/>
      <c r="B87" s="947">
        <v>2040205</v>
      </c>
      <c r="C87" s="1815">
        <v>0.02</v>
      </c>
      <c r="D87" s="1814" t="s">
        <v>592</v>
      </c>
      <c r="E87" s="925">
        <f>'11.2. Нови активи отч.год.'!E88</f>
        <v>0</v>
      </c>
      <c r="F87" s="983">
        <f t="shared" si="30"/>
        <v>10.76</v>
      </c>
      <c r="G87" s="984">
        <f t="shared" si="31"/>
        <v>26.32</v>
      </c>
      <c r="H87" s="984">
        <f t="shared" si="32"/>
        <v>35.72</v>
      </c>
      <c r="I87" s="984">
        <f t="shared" si="33"/>
        <v>44.22</v>
      </c>
      <c r="J87" s="984">
        <f t="shared" si="34"/>
        <v>52.62</v>
      </c>
      <c r="K87" s="985">
        <f t="shared" si="35"/>
        <v>61.12</v>
      </c>
      <c r="L87" s="925">
        <f>'11.2. Нови активи отч.год.'!L88</f>
        <v>0</v>
      </c>
      <c r="M87" s="986">
        <f t="shared" si="36"/>
        <v>0</v>
      </c>
      <c r="N87" s="984">
        <f t="shared" si="37"/>
        <v>0</v>
      </c>
      <c r="O87" s="984">
        <f t="shared" si="38"/>
        <v>0</v>
      </c>
      <c r="P87" s="984">
        <f t="shared" si="39"/>
        <v>0</v>
      </c>
      <c r="Q87" s="985">
        <f t="shared" si="40"/>
        <v>0</v>
      </c>
      <c r="R87" s="987">
        <f t="shared" si="41"/>
        <v>0</v>
      </c>
      <c r="S87" s="1732">
        <f>'11.2. Нови активи отч.год.'!S88</f>
        <v>0</v>
      </c>
      <c r="T87" s="2915">
        <f t="shared" si="42"/>
        <v>0</v>
      </c>
      <c r="U87" s="984">
        <f t="shared" si="43"/>
        <v>0</v>
      </c>
      <c r="V87" s="984">
        <f t="shared" si="44"/>
        <v>0</v>
      </c>
      <c r="W87" s="984">
        <f t="shared" si="45"/>
        <v>0</v>
      </c>
      <c r="X87" s="984">
        <f t="shared" si="46"/>
        <v>0</v>
      </c>
      <c r="Y87" s="985">
        <f t="shared" si="47"/>
        <v>0</v>
      </c>
      <c r="Z87" s="1732">
        <f>'11.2. Нови активи отч.год.'!Z88</f>
        <v>0</v>
      </c>
      <c r="AA87" s="986">
        <f t="shared" si="48"/>
        <v>0</v>
      </c>
      <c r="AB87" s="984">
        <f t="shared" si="49"/>
        <v>0</v>
      </c>
      <c r="AC87" s="984">
        <f t="shared" si="50"/>
        <v>0</v>
      </c>
      <c r="AD87" s="984">
        <f t="shared" si="51"/>
        <v>0</v>
      </c>
      <c r="AE87" s="984">
        <f t="shared" si="52"/>
        <v>0</v>
      </c>
      <c r="AF87" s="987">
        <f t="shared" si="53"/>
        <v>0</v>
      </c>
      <c r="AG87" s="618"/>
      <c r="AH87" s="619"/>
    </row>
    <row r="88" spans="1:34" s="620" customFormat="1">
      <c r="A88" s="947"/>
      <c r="B88" s="947">
        <v>2040206</v>
      </c>
      <c r="C88" s="1815">
        <v>0.02</v>
      </c>
      <c r="D88" s="1814" t="s">
        <v>593</v>
      </c>
      <c r="E88" s="925">
        <f>'11.2. Нови активи отч.год.'!E89</f>
        <v>0</v>
      </c>
      <c r="F88" s="983">
        <f t="shared" si="30"/>
        <v>0</v>
      </c>
      <c r="G88" s="984">
        <f t="shared" si="31"/>
        <v>0</v>
      </c>
      <c r="H88" s="984">
        <f t="shared" si="32"/>
        <v>0</v>
      </c>
      <c r="I88" s="984">
        <f t="shared" si="33"/>
        <v>0</v>
      </c>
      <c r="J88" s="984">
        <f t="shared" si="34"/>
        <v>0</v>
      </c>
      <c r="K88" s="985">
        <f t="shared" si="35"/>
        <v>0</v>
      </c>
      <c r="L88" s="925">
        <f>'11.2. Нови активи отч.год.'!L89</f>
        <v>0</v>
      </c>
      <c r="M88" s="986">
        <f t="shared" si="36"/>
        <v>0.55000000000000004</v>
      </c>
      <c r="N88" s="984">
        <f t="shared" si="37"/>
        <v>1.53</v>
      </c>
      <c r="O88" s="984">
        <f t="shared" si="38"/>
        <v>2.34</v>
      </c>
      <c r="P88" s="984">
        <f t="shared" si="39"/>
        <v>3.4399999999999995</v>
      </c>
      <c r="Q88" s="985">
        <f t="shared" si="40"/>
        <v>4.7700000000000005</v>
      </c>
      <c r="R88" s="987">
        <f t="shared" si="41"/>
        <v>5.81</v>
      </c>
      <c r="S88" s="1732">
        <f>'11.2. Нови активи отч.год.'!S89</f>
        <v>0</v>
      </c>
      <c r="T88" s="2915">
        <f t="shared" si="42"/>
        <v>0</v>
      </c>
      <c r="U88" s="984">
        <f t="shared" si="43"/>
        <v>0</v>
      </c>
      <c r="V88" s="984">
        <f t="shared" si="44"/>
        <v>0</v>
      </c>
      <c r="W88" s="984">
        <f t="shared" si="45"/>
        <v>0</v>
      </c>
      <c r="X88" s="984">
        <f t="shared" si="46"/>
        <v>0</v>
      </c>
      <c r="Y88" s="985">
        <f t="shared" si="47"/>
        <v>0</v>
      </c>
      <c r="Z88" s="1732">
        <f>'11.2. Нови активи отч.год.'!Z89</f>
        <v>0</v>
      </c>
      <c r="AA88" s="986">
        <f t="shared" si="48"/>
        <v>0</v>
      </c>
      <c r="AB88" s="984">
        <f t="shared" si="49"/>
        <v>0</v>
      </c>
      <c r="AC88" s="984">
        <f t="shared" si="50"/>
        <v>0</v>
      </c>
      <c r="AD88" s="984">
        <f t="shared" si="51"/>
        <v>0</v>
      </c>
      <c r="AE88" s="984">
        <f t="shared" si="52"/>
        <v>0</v>
      </c>
      <c r="AF88" s="987">
        <f t="shared" si="53"/>
        <v>0</v>
      </c>
      <c r="AG88" s="618"/>
      <c r="AH88" s="619"/>
    </row>
    <row r="89" spans="1:34" s="620" customFormat="1" ht="24">
      <c r="A89" s="947"/>
      <c r="B89" s="947">
        <v>2040207</v>
      </c>
      <c r="C89" s="1815">
        <v>0.04</v>
      </c>
      <c r="D89" s="1814" t="s">
        <v>594</v>
      </c>
      <c r="E89" s="925">
        <f>'11.2. Нови активи отч.год.'!E90</f>
        <v>0</v>
      </c>
      <c r="F89" s="983">
        <f t="shared" si="30"/>
        <v>5.54</v>
      </c>
      <c r="G89" s="984">
        <f t="shared" si="31"/>
        <v>13.08</v>
      </c>
      <c r="H89" s="984">
        <f t="shared" si="32"/>
        <v>16.98</v>
      </c>
      <c r="I89" s="984">
        <f t="shared" si="33"/>
        <v>20.88</v>
      </c>
      <c r="J89" s="984">
        <f t="shared" si="34"/>
        <v>24.68</v>
      </c>
      <c r="K89" s="985">
        <f t="shared" si="35"/>
        <v>28.18</v>
      </c>
      <c r="L89" s="925">
        <f>'11.2. Нови активи отч.год.'!L90</f>
        <v>0</v>
      </c>
      <c r="M89" s="986">
        <f t="shared" si="36"/>
        <v>0</v>
      </c>
      <c r="N89" s="984">
        <f t="shared" si="37"/>
        <v>0</v>
      </c>
      <c r="O89" s="984">
        <f t="shared" si="38"/>
        <v>0</v>
      </c>
      <c r="P89" s="984">
        <f t="shared" si="39"/>
        <v>0</v>
      </c>
      <c r="Q89" s="985">
        <f t="shared" si="40"/>
        <v>0</v>
      </c>
      <c r="R89" s="987">
        <f t="shared" si="41"/>
        <v>0</v>
      </c>
      <c r="S89" s="1732">
        <f>'11.2. Нови активи отч.год.'!S90</f>
        <v>0</v>
      </c>
      <c r="T89" s="2915">
        <f t="shared" si="42"/>
        <v>0</v>
      </c>
      <c r="U89" s="984">
        <f t="shared" si="43"/>
        <v>0.78</v>
      </c>
      <c r="V89" s="984">
        <f t="shared" si="44"/>
        <v>2.2400000000000002</v>
      </c>
      <c r="W89" s="984">
        <f t="shared" si="45"/>
        <v>3.84</v>
      </c>
      <c r="X89" s="984">
        <f t="shared" si="46"/>
        <v>5.38</v>
      </c>
      <c r="Y89" s="985">
        <f t="shared" si="47"/>
        <v>6.82</v>
      </c>
      <c r="Z89" s="1732">
        <f>'11.2. Нови активи отч.год.'!Z90</f>
        <v>0</v>
      </c>
      <c r="AA89" s="986">
        <f t="shared" si="48"/>
        <v>0</v>
      </c>
      <c r="AB89" s="984">
        <f t="shared" si="49"/>
        <v>0</v>
      </c>
      <c r="AC89" s="984">
        <f t="shared" si="50"/>
        <v>0</v>
      </c>
      <c r="AD89" s="984">
        <f t="shared" si="51"/>
        <v>0</v>
      </c>
      <c r="AE89" s="984">
        <f t="shared" si="52"/>
        <v>0</v>
      </c>
      <c r="AF89" s="987">
        <f t="shared" si="53"/>
        <v>0</v>
      </c>
      <c r="AG89" s="618"/>
      <c r="AH89" s="619"/>
    </row>
    <row r="90" spans="1:34" s="620" customFormat="1">
      <c r="A90" s="947"/>
      <c r="B90" s="947">
        <v>2040208</v>
      </c>
      <c r="C90" s="1815">
        <v>0.04</v>
      </c>
      <c r="D90" s="1814" t="s">
        <v>595</v>
      </c>
      <c r="E90" s="925">
        <f>'11.2. Нови активи отч.год.'!E91</f>
        <v>0</v>
      </c>
      <c r="F90" s="983">
        <f t="shared" si="30"/>
        <v>0</v>
      </c>
      <c r="G90" s="984">
        <f t="shared" si="31"/>
        <v>0</v>
      </c>
      <c r="H90" s="984">
        <f t="shared" si="32"/>
        <v>0</v>
      </c>
      <c r="I90" s="984">
        <f t="shared" si="33"/>
        <v>0</v>
      </c>
      <c r="J90" s="984">
        <f t="shared" si="34"/>
        <v>0</v>
      </c>
      <c r="K90" s="985">
        <f t="shared" si="35"/>
        <v>0</v>
      </c>
      <c r="L90" s="925">
        <f>'11.2. Нови активи отч.год.'!L91</f>
        <v>0</v>
      </c>
      <c r="M90" s="986">
        <f t="shared" si="36"/>
        <v>0</v>
      </c>
      <c r="N90" s="984">
        <f t="shared" si="37"/>
        <v>0</v>
      </c>
      <c r="O90" s="984">
        <f t="shared" si="38"/>
        <v>0</v>
      </c>
      <c r="P90" s="984">
        <f t="shared" si="39"/>
        <v>0</v>
      </c>
      <c r="Q90" s="985">
        <f t="shared" si="40"/>
        <v>0</v>
      </c>
      <c r="R90" s="987">
        <f t="shared" si="41"/>
        <v>0</v>
      </c>
      <c r="S90" s="1732">
        <f>'11.2. Нови активи отч.год.'!S91</f>
        <v>0</v>
      </c>
      <c r="T90" s="2915">
        <f t="shared" si="42"/>
        <v>0</v>
      </c>
      <c r="U90" s="984">
        <f t="shared" si="43"/>
        <v>0</v>
      </c>
      <c r="V90" s="984">
        <f t="shared" si="44"/>
        <v>0</v>
      </c>
      <c r="W90" s="984">
        <f t="shared" si="45"/>
        <v>0</v>
      </c>
      <c r="X90" s="984">
        <f t="shared" si="46"/>
        <v>0</v>
      </c>
      <c r="Y90" s="985">
        <f t="shared" si="47"/>
        <v>0</v>
      </c>
      <c r="Z90" s="1732">
        <f>'11.2. Нови активи отч.год.'!Z91</f>
        <v>0</v>
      </c>
      <c r="AA90" s="986">
        <f t="shared" si="48"/>
        <v>0</v>
      </c>
      <c r="AB90" s="984">
        <f t="shared" si="49"/>
        <v>0</v>
      </c>
      <c r="AC90" s="984">
        <f t="shared" si="50"/>
        <v>0</v>
      </c>
      <c r="AD90" s="984">
        <f t="shared" si="51"/>
        <v>0</v>
      </c>
      <c r="AE90" s="984">
        <f t="shared" si="52"/>
        <v>0</v>
      </c>
      <c r="AF90" s="987">
        <f t="shared" si="53"/>
        <v>0</v>
      </c>
      <c r="AG90" s="618"/>
      <c r="AH90" s="619"/>
    </row>
    <row r="91" spans="1:34">
      <c r="A91" s="278"/>
      <c r="B91" s="1833">
        <v>20403</v>
      </c>
      <c r="C91" s="1834">
        <v>0.04</v>
      </c>
      <c r="D91" s="1822" t="s">
        <v>1524</v>
      </c>
      <c r="E91" s="925">
        <f>'11.2. Нови активи отч.год.'!E92</f>
        <v>0</v>
      </c>
      <c r="F91" s="893">
        <f t="shared" ref="F91:F92" si="54">($F42*$C91)/$E$6</f>
        <v>0</v>
      </c>
      <c r="G91" s="882">
        <f t="shared" ref="G91:G92" si="55">($F42*$C91)+($G42*$C91)/$E$6</f>
        <v>0</v>
      </c>
      <c r="H91" s="882">
        <f t="shared" ref="H91:H92" si="56">($F42*$C91)+($G42*$C91)+($H42*$C91)/$E$6</f>
        <v>0</v>
      </c>
      <c r="I91" s="882">
        <f t="shared" ref="I91:I92" si="57">($F42*$C91)+($G42*$C91)+($H42*$C91)+($I42*$C91)/$E$6</f>
        <v>0</v>
      </c>
      <c r="J91" s="882">
        <f t="shared" ref="J91:J92" si="58">($F42*$C91)+($G42*$C91)+($H42*$C91)+($I42*$C91)+($J42*$C91)/$E$6</f>
        <v>0</v>
      </c>
      <c r="K91" s="981">
        <f t="shared" ref="K91:K92" si="59">($F42*$C91)+($G42*$C91)+($H42*$C91)+($I42*$C91)+($J42*$C91)+($K42*$C91)/$E$6</f>
        <v>0</v>
      </c>
      <c r="L91" s="925">
        <f>'11.2. Нови активи отч.год.'!L92</f>
        <v>0</v>
      </c>
      <c r="M91" s="881">
        <f t="shared" ref="M91:M92" si="60">($M42*$C91)/$E$6</f>
        <v>0</v>
      </c>
      <c r="N91" s="882">
        <f t="shared" ref="N91:N92" si="61">($M42*$C91)+($N42*$C91)/$E$6</f>
        <v>0</v>
      </c>
      <c r="O91" s="882">
        <f t="shared" ref="O91:O92" si="62">($M42*$C91)+($N42*$C91)+($O42*$C91)/$E$6</f>
        <v>0</v>
      </c>
      <c r="P91" s="882">
        <f t="shared" ref="P91:P92" si="63">($M42*$C91)+($N42*$C91)+($O42*$C91)+($P42*$C91)/$E$6</f>
        <v>0</v>
      </c>
      <c r="Q91" s="981">
        <f t="shared" ref="Q91:Q92" si="64">($M42*$C91)+($N42*$C91)+($O42*$C91)+($P42*$C91)+($Q42*$C91)/$E$6</f>
        <v>0</v>
      </c>
      <c r="R91" s="883">
        <f t="shared" ref="R91:R92" si="65">($M42*$C91)+($N42*$C91)+($O42*$C91)+($P42*$C91)+($Q42*$C91)+($R42*$C91)/$E$6</f>
        <v>0</v>
      </c>
      <c r="S91" s="1732">
        <f>'11.2. Нови активи отч.год.'!S92</f>
        <v>0</v>
      </c>
      <c r="T91" s="928">
        <f t="shared" ref="T91:T92" si="66">($T42*$C91)/$E$6</f>
        <v>0</v>
      </c>
      <c r="U91" s="882">
        <f t="shared" ref="U91:U92" si="67">($T42*$C91)+($U42*$C91)/$E$6</f>
        <v>0</v>
      </c>
      <c r="V91" s="882">
        <f t="shared" ref="V91:V92" si="68">($T42*$C91)+($U42*$C91)+($V42*$C91)/$E$6</f>
        <v>0</v>
      </c>
      <c r="W91" s="882">
        <f t="shared" ref="W91:W92" si="69">($T42*$C91)+($U42*$C91)+($V42*$C91)+($W42*$C91)/$E$6</f>
        <v>0</v>
      </c>
      <c r="X91" s="882">
        <f t="shared" ref="X91:X92" si="70">($T42*$C91)+($U42*$C91)+($V42*$C91)+($W42*$C91)+($X42*$C91)/$E$6</f>
        <v>0</v>
      </c>
      <c r="Y91" s="981">
        <f t="shared" ref="Y91:Y92" si="71">($T42*$C91)+($U42*$C91)+($V42*$C91)+($W42*$C91)+($X42*$C91)+($Y42*$C91)/$E$6</f>
        <v>0</v>
      </c>
      <c r="Z91" s="1732">
        <f>'11.2. Нови активи отч.год.'!Z92</f>
        <v>0</v>
      </c>
      <c r="AA91" s="881">
        <f t="shared" ref="AA91:AA92" si="72">($AA42*$C91)/$E$6</f>
        <v>0</v>
      </c>
      <c r="AB91" s="882">
        <f t="shared" ref="AB91:AB92" si="73">($AA42*$C91)+($AB42*$C91)/$E$6</f>
        <v>0</v>
      </c>
      <c r="AC91" s="882">
        <f t="shared" ref="AC91:AC92" si="74">($AA42*$C91)+($AB42*$C91)+($AC42*$C91)/$E$6</f>
        <v>0</v>
      </c>
      <c r="AD91" s="882">
        <f t="shared" ref="AD91:AD92" si="75">($AA42*$C91)+($AB42*$C91)+($AC42*$C91)+($AD42*$C91)/$E$6</f>
        <v>0</v>
      </c>
      <c r="AE91" s="882">
        <f t="shared" ref="AE91:AE92" si="76">($AA42*$C91)+($AB42*$C91)+($AC42*$C91)+($AD42*$C91)+($AE42*$C91)/$E$6</f>
        <v>0</v>
      </c>
      <c r="AF91" s="883">
        <f t="shared" ref="AF91:AF92" si="77">($AA42*$C91)+($AB42*$C91)+($AC42*$C91)+($AD42*$C91)+($AE42*$C91)+($AF42*$C91)/$E$6</f>
        <v>0</v>
      </c>
      <c r="AG91" s="307"/>
      <c r="AH91" s="566"/>
    </row>
    <row r="92" spans="1:34" ht="25.5">
      <c r="A92" s="278"/>
      <c r="B92" s="1833" t="s">
        <v>1525</v>
      </c>
      <c r="C92" s="1834">
        <v>0.04</v>
      </c>
      <c r="D92" s="1822" t="s">
        <v>1526</v>
      </c>
      <c r="E92" s="925">
        <f>'11.2. Нови активи отч.год.'!E93</f>
        <v>0</v>
      </c>
      <c r="F92" s="893">
        <f t="shared" si="54"/>
        <v>0</v>
      </c>
      <c r="G92" s="882">
        <f t="shared" si="55"/>
        <v>0</v>
      </c>
      <c r="H92" s="882">
        <f t="shared" si="56"/>
        <v>0</v>
      </c>
      <c r="I92" s="882">
        <f t="shared" si="57"/>
        <v>0</v>
      </c>
      <c r="J92" s="882">
        <f t="shared" si="58"/>
        <v>0</v>
      </c>
      <c r="K92" s="981">
        <f t="shared" si="59"/>
        <v>0</v>
      </c>
      <c r="L92" s="925">
        <f>'11.2. Нови активи отч.год.'!L93</f>
        <v>0</v>
      </c>
      <c r="M92" s="881">
        <f t="shared" si="60"/>
        <v>0</v>
      </c>
      <c r="N92" s="882">
        <f t="shared" si="61"/>
        <v>0</v>
      </c>
      <c r="O92" s="882">
        <f t="shared" si="62"/>
        <v>0</v>
      </c>
      <c r="P92" s="882">
        <f t="shared" si="63"/>
        <v>0</v>
      </c>
      <c r="Q92" s="981">
        <f t="shared" si="64"/>
        <v>0</v>
      </c>
      <c r="R92" s="883">
        <f t="shared" si="65"/>
        <v>0</v>
      </c>
      <c r="S92" s="1732">
        <f>'11.2. Нови активи отч.год.'!S93</f>
        <v>0</v>
      </c>
      <c r="T92" s="928">
        <f t="shared" si="66"/>
        <v>0</v>
      </c>
      <c r="U92" s="882">
        <f t="shared" si="67"/>
        <v>0</v>
      </c>
      <c r="V92" s="882">
        <f t="shared" si="68"/>
        <v>0</v>
      </c>
      <c r="W92" s="882">
        <f t="shared" si="69"/>
        <v>0</v>
      </c>
      <c r="X92" s="882">
        <f t="shared" si="70"/>
        <v>0</v>
      </c>
      <c r="Y92" s="981">
        <f t="shared" si="71"/>
        <v>0</v>
      </c>
      <c r="Z92" s="1732">
        <f>'11.2. Нови активи отч.год.'!Z93</f>
        <v>0</v>
      </c>
      <c r="AA92" s="881">
        <f t="shared" si="72"/>
        <v>0</v>
      </c>
      <c r="AB92" s="882">
        <f t="shared" si="73"/>
        <v>0</v>
      </c>
      <c r="AC92" s="882">
        <f t="shared" si="74"/>
        <v>0</v>
      </c>
      <c r="AD92" s="882">
        <f t="shared" si="75"/>
        <v>0</v>
      </c>
      <c r="AE92" s="882">
        <f t="shared" si="76"/>
        <v>0</v>
      </c>
      <c r="AF92" s="883">
        <f t="shared" si="77"/>
        <v>0</v>
      </c>
      <c r="AG92" s="307"/>
      <c r="AH92" s="566"/>
    </row>
    <row r="93" spans="1:34">
      <c r="A93" s="934">
        <v>5</v>
      </c>
      <c r="B93" s="934">
        <v>205</v>
      </c>
      <c r="C93" s="1808"/>
      <c r="D93" s="1811" t="s">
        <v>275</v>
      </c>
      <c r="E93" s="980">
        <f>SUM(E94:E97)</f>
        <v>3.6</v>
      </c>
      <c r="F93" s="974">
        <f>SUM(F94:F97)</f>
        <v>15.04</v>
      </c>
      <c r="G93" s="975">
        <f>SUM(G94:G97)</f>
        <v>36.58</v>
      </c>
      <c r="H93" s="975">
        <f t="shared" ref="H93:K93" si="78">SUM(H94:H97)</f>
        <v>49.78</v>
      </c>
      <c r="I93" s="975">
        <f t="shared" si="78"/>
        <v>62.58</v>
      </c>
      <c r="J93" s="975">
        <f t="shared" si="78"/>
        <v>72.180000000000007</v>
      </c>
      <c r="K93" s="976">
        <f t="shared" si="78"/>
        <v>79.680000000000007</v>
      </c>
      <c r="L93" s="977">
        <f>SUM(L94:L97)</f>
        <v>0</v>
      </c>
      <c r="M93" s="974">
        <f>SUM(M94:M97)</f>
        <v>0</v>
      </c>
      <c r="N93" s="975">
        <f>SUM(N94:N97)</f>
        <v>70</v>
      </c>
      <c r="O93" s="975">
        <f t="shared" ref="O93:R93" si="79">SUM(O94:O97)</f>
        <v>140</v>
      </c>
      <c r="P93" s="975">
        <f t="shared" si="79"/>
        <v>140</v>
      </c>
      <c r="Q93" s="975">
        <f t="shared" si="79"/>
        <v>140</v>
      </c>
      <c r="R93" s="978">
        <f t="shared" si="79"/>
        <v>140</v>
      </c>
      <c r="S93" s="977">
        <f>SUM(S94:S97)</f>
        <v>0</v>
      </c>
      <c r="T93" s="979">
        <f>SUM(T94:T97)</f>
        <v>0</v>
      </c>
      <c r="U93" s="975">
        <f>SUM(U94:U97)</f>
        <v>0</v>
      </c>
      <c r="V93" s="975">
        <f t="shared" ref="V93:Y93" si="80">SUM(V94:V97)</f>
        <v>10</v>
      </c>
      <c r="W93" s="975">
        <f t="shared" si="80"/>
        <v>20</v>
      </c>
      <c r="X93" s="975">
        <f t="shared" si="80"/>
        <v>20</v>
      </c>
      <c r="Y93" s="978">
        <f t="shared" si="80"/>
        <v>20</v>
      </c>
      <c r="Z93" s="977">
        <f>SUM(Z94:Z97)</f>
        <v>3.6</v>
      </c>
      <c r="AA93" s="979">
        <f>SUM(AA94:AA97)</f>
        <v>0</v>
      </c>
      <c r="AB93" s="975">
        <f>SUM(AB94:AB97)</f>
        <v>0</v>
      </c>
      <c r="AC93" s="975">
        <f t="shared" ref="AC93:AE93" si="81">SUM(AC94:AC97)</f>
        <v>0</v>
      </c>
      <c r="AD93" s="975">
        <f t="shared" si="81"/>
        <v>0</v>
      </c>
      <c r="AE93" s="975">
        <f t="shared" si="81"/>
        <v>0</v>
      </c>
      <c r="AF93" s="978">
        <f>SUM(AF94:AF97)</f>
        <v>0</v>
      </c>
      <c r="AG93" s="307"/>
      <c r="AH93" s="566"/>
    </row>
    <row r="94" spans="1:34">
      <c r="A94" s="892"/>
      <c r="B94" s="892">
        <v>20501</v>
      </c>
      <c r="C94" s="1634">
        <v>0.08</v>
      </c>
      <c r="D94" s="1629" t="s">
        <v>765</v>
      </c>
      <c r="E94" s="925">
        <f>'11.2. Нови активи отч.год.'!E95</f>
        <v>0</v>
      </c>
      <c r="F94" s="893">
        <f>($F45*$C94)/$E$6</f>
        <v>9.84</v>
      </c>
      <c r="G94" s="894">
        <f>($F45*$C94)+($G45*$C94)/$E$6</f>
        <v>23.68</v>
      </c>
      <c r="H94" s="894">
        <f>($F45*$C94)+($G45*$C94)+($H45*$C94)/$E$6</f>
        <v>30.88</v>
      </c>
      <c r="I94" s="894">
        <f>($F45*$C94)+($G45*$C94)+($H45*$C94)+($I45*$C94)/$E$6</f>
        <v>37.68</v>
      </c>
      <c r="J94" s="894">
        <f>($F45*$C94)+($G45*$C94)+($H45*$C94)+($I45*$C94)+($J45*$C94)/$E$6</f>
        <v>43.28</v>
      </c>
      <c r="K94" s="973">
        <f>($F45*$C94)+($G45*$C94)+($H45*$C94)+($I45*$C94)+($J45*$C94)+($K45*$C94)/$E$6</f>
        <v>47.28</v>
      </c>
      <c r="L94" s="925">
        <f>'11.2. Нови активи отч.год.'!L95</f>
        <v>0</v>
      </c>
      <c r="M94" s="893">
        <f>($M45*$C94)/$E$6</f>
        <v>0</v>
      </c>
      <c r="N94" s="894">
        <f>($M45*$C94)+($N45*$C94)/$E$6</f>
        <v>10</v>
      </c>
      <c r="O94" s="894">
        <f>($M45*$C94)+($N45*$C94)+($O45*$C94)/$E$6</f>
        <v>20</v>
      </c>
      <c r="P94" s="894">
        <f>($M45*$C94)+($N45*$C94)+($O45*$C94)+($P45*$C94)/$E$6</f>
        <v>20</v>
      </c>
      <c r="Q94" s="973">
        <f>($M45*$C94)+($N45*$C94)+($O45*$C94)+($P45*$C94)+($Q45*$C94)/$E$6</f>
        <v>20</v>
      </c>
      <c r="R94" s="895">
        <f>($M45*$C94)+($N45*$C94)+($O45*$C94)+($P45*$C94)+($Q45*$C94)+($R45*$C94)/$E$6</f>
        <v>20</v>
      </c>
      <c r="S94" s="1732">
        <f>'11.2. Нови активи отч.год.'!S95</f>
        <v>0</v>
      </c>
      <c r="T94" s="2914">
        <f>($T45*$C94)/$E$6</f>
        <v>0</v>
      </c>
      <c r="U94" s="894">
        <f>($T45*$C94)+($U45*$C94)/$E$6</f>
        <v>0</v>
      </c>
      <c r="V94" s="894">
        <f>($T45*$C94)+($U45*$C94)+($V45*$C94)/$E$6</f>
        <v>10</v>
      </c>
      <c r="W94" s="894">
        <f>($T45*$C94)+($U45*$C94)+($V45*$C94)+($W45*$C94)/$E$6</f>
        <v>20</v>
      </c>
      <c r="X94" s="894">
        <f>($T45*$C94)+($U45*$C94)+($V45*$C94)+($W45*$C94)+($X45*$C94)/$E$6</f>
        <v>20</v>
      </c>
      <c r="Y94" s="973">
        <f>($T45*$C94)+($U45*$C94)+($V45*$C94)+($W45*$C94)+($X45*$C94)+($Y45*$C94)/$E$6</f>
        <v>20</v>
      </c>
      <c r="Z94" s="1732">
        <f>'11.2. Нови активи отч.год.'!Z95</f>
        <v>0</v>
      </c>
      <c r="AA94" s="893">
        <f>($AA45*$C94)/$E$6</f>
        <v>0</v>
      </c>
      <c r="AB94" s="894">
        <f>($AA45*$C94)+($AB45*$C94)/$E$6</f>
        <v>0</v>
      </c>
      <c r="AC94" s="894">
        <f>($AA45*$C94)+($AB45*$C94)+($AC45*$C94)/$E$6</f>
        <v>0</v>
      </c>
      <c r="AD94" s="894">
        <f>($AA45*$C94)+($AB45*$C94)+($AC45*$C94)+($AD45*$C94)/$E$6</f>
        <v>0</v>
      </c>
      <c r="AE94" s="894">
        <f>($AA45*$C94)+($AB45*$C94)+($AC45*$C94)+($AD45*$C94)+($AE45*$C94)/$E$6</f>
        <v>0</v>
      </c>
      <c r="AF94" s="895">
        <f>($AA45*$C94)+($AB45*$C94)+($AC45*$C94)+($AD45*$C94)+($AE45*$C94)+($AF45*$C94)/$E$6</f>
        <v>0</v>
      </c>
      <c r="AG94" s="307"/>
      <c r="AH94" s="566"/>
    </row>
    <row r="95" spans="1:34">
      <c r="A95" s="892"/>
      <c r="B95" s="892">
        <v>20502</v>
      </c>
      <c r="C95" s="1634">
        <v>0.1</v>
      </c>
      <c r="D95" s="1629" t="s">
        <v>583</v>
      </c>
      <c r="E95" s="925">
        <f>'11.2. Нови активи отч.год.'!E96</f>
        <v>3.6</v>
      </c>
      <c r="F95" s="893">
        <f>($F46*$C95)/$E$6</f>
        <v>5.2</v>
      </c>
      <c r="G95" s="882">
        <f>($F46*$C95)+($G46*$C95)/$E$6</f>
        <v>12.9</v>
      </c>
      <c r="H95" s="882">
        <f>($F46*$C95)+($G46*$C95)+($H46*$C95)/$E$6</f>
        <v>18.899999999999999</v>
      </c>
      <c r="I95" s="882">
        <f>($F46*$C95)+($G46*$C95)+($H46*$C95)+($I46*$C95)/$E$6</f>
        <v>24.9</v>
      </c>
      <c r="J95" s="882">
        <f>($F46*$C95)+($G46*$C95)+($H46*$C95)+($I46*$C95)+($J46*$C95)/$E$6</f>
        <v>28.9</v>
      </c>
      <c r="K95" s="981">
        <f>($F46*$C95)+($G46*$C95)+($H46*$C95)+($I46*$C95)+($J46*$C95)+($K46*$C95)/$E$6</f>
        <v>32.4</v>
      </c>
      <c r="L95" s="925">
        <f>'11.2. Нови активи отч.год.'!L96</f>
        <v>0</v>
      </c>
      <c r="M95" s="881">
        <f>($M46*$C95)/$E$6</f>
        <v>0</v>
      </c>
      <c r="N95" s="882">
        <f>($M46*$C95)+($N46*$C95)/$E$6</f>
        <v>0</v>
      </c>
      <c r="O95" s="882">
        <f>($M46*$C95)+($N46*$C95)+($O46*$C95)/$E$6</f>
        <v>0</v>
      </c>
      <c r="P95" s="882">
        <f>($M46*$C95)+($N46*$C95)+($O46*$C95)+($P46*$C95)/$E$6</f>
        <v>0</v>
      </c>
      <c r="Q95" s="981">
        <f>($M46*$C95)+($N46*$C95)+($O46*$C95)+($P46*$C95)+($Q46*$C95)/$E$6</f>
        <v>0</v>
      </c>
      <c r="R95" s="883">
        <f>($M46*$C95)+($N46*$C95)+($O46*$C95)+($P46*$C95)+($Q46*$C95)+($R46*$C95)/$E$6</f>
        <v>0</v>
      </c>
      <c r="S95" s="1732">
        <f>'11.2. Нови активи отч.год.'!S96</f>
        <v>0</v>
      </c>
      <c r="T95" s="928">
        <f>($T46*$C95)/$E$6</f>
        <v>0</v>
      </c>
      <c r="U95" s="882">
        <f>($T46*$C95)+($U46*$C95)/$E$6</f>
        <v>0</v>
      </c>
      <c r="V95" s="882">
        <f>($T46*$C95)+($U46*$C95)+($V46*$C95)/$E$6</f>
        <v>0</v>
      </c>
      <c r="W95" s="882">
        <f>($T46*$C95)+($U46*$C95)+($V46*$C95)+($W46*$C95)/$E$6</f>
        <v>0</v>
      </c>
      <c r="X95" s="882">
        <f>($T46*$C95)+($U46*$C95)+($V46*$C95)+($W46*$C95)+($X46*$C95)/$E$6</f>
        <v>0</v>
      </c>
      <c r="Y95" s="981">
        <f>($T46*$C95)+($U46*$C95)+($V46*$C95)+($W46*$C95)+($X46*$C95)+($Y46*$C95)/$E$6</f>
        <v>0</v>
      </c>
      <c r="Z95" s="1732">
        <f>'11.2. Нови активи отч.год.'!Z96</f>
        <v>3.6</v>
      </c>
      <c r="AA95" s="881">
        <f>($AA46*$C95)/$E$6</f>
        <v>0</v>
      </c>
      <c r="AB95" s="882">
        <f>($AA46*$C95)+($AB46*$C95)/$E$6</f>
        <v>0</v>
      </c>
      <c r="AC95" s="882">
        <f>($AA46*$C95)+($AB46*$C95)+($AC46*$C95)/$E$6</f>
        <v>0</v>
      </c>
      <c r="AD95" s="882">
        <f>($AA46*$C95)+($AB46*$C95)+($AC46*$C95)+($AD46*$C95)/$E$6</f>
        <v>0</v>
      </c>
      <c r="AE95" s="882">
        <f>($AA46*$C95)+($AB46*$C95)+($AC46*$C95)+($AD46*$C95)+($AE46*$C95)/$E$6</f>
        <v>0</v>
      </c>
      <c r="AF95" s="883">
        <f>($AA46*$C95)+($AB46*$C95)+($AC46*$C95)+($AD46*$C95)+($AE46*$C95)+($AF46*$C95)/$E$6</f>
        <v>0</v>
      </c>
      <c r="AG95" s="307"/>
      <c r="AH95" s="566"/>
    </row>
    <row r="96" spans="1:34">
      <c r="A96" s="892"/>
      <c r="B96" s="892">
        <v>20503</v>
      </c>
      <c r="C96" s="1634">
        <v>0.1</v>
      </c>
      <c r="D96" s="1626" t="s">
        <v>584</v>
      </c>
      <c r="E96" s="925">
        <f>'11.2. Нови активи отч.год.'!E97</f>
        <v>0</v>
      </c>
      <c r="F96" s="893">
        <f>($F47*$C96)/$E$6</f>
        <v>0</v>
      </c>
      <c r="G96" s="882">
        <f>($F47*$C96)+($G47*$C96)/$E$6</f>
        <v>0</v>
      </c>
      <c r="H96" s="882">
        <f>($F47*$C96)+($G47*$C96)+($H47*$C96)/$E$6</f>
        <v>0</v>
      </c>
      <c r="I96" s="882">
        <f>($F47*$C96)+($G47*$C96)+($H47*$C96)+($I47*$C96)/$E$6</f>
        <v>0</v>
      </c>
      <c r="J96" s="882">
        <f>($F47*$C96)+($G47*$C96)+($H47*$C96)+($I47*$C96)+($J47*$C96)/$E$6</f>
        <v>0</v>
      </c>
      <c r="K96" s="981">
        <f>($F47*$C96)+($G47*$C96)+($H47*$C96)+($I47*$C96)+($J47*$C96)+($K47*$C96)/$E$6</f>
        <v>0</v>
      </c>
      <c r="L96" s="925">
        <f>'11.2. Нови активи отч.год.'!L97</f>
        <v>0</v>
      </c>
      <c r="M96" s="881">
        <f>($M47*$C96)/$E$6</f>
        <v>0</v>
      </c>
      <c r="N96" s="882">
        <f>($M47*$C96)+($N47*$C96)/$E$6</f>
        <v>60</v>
      </c>
      <c r="O96" s="882">
        <f>($M47*$C96)+($N47*$C96)+($O47*$C96)/$E$6</f>
        <v>120</v>
      </c>
      <c r="P96" s="882">
        <f>($M47*$C96)+($N47*$C96)+($O47*$C96)+($P47*$C96)/$E$6</f>
        <v>120</v>
      </c>
      <c r="Q96" s="981">
        <f>($M47*$C96)+($N47*$C96)+($O47*$C96)+($P47*$C96)+($Q47*$C96)/$E$6</f>
        <v>120</v>
      </c>
      <c r="R96" s="883">
        <f>($M47*$C96)+($N47*$C96)+($O47*$C96)+($P47*$C96)+($Q47*$C96)+($R47*$C96)/$E$6</f>
        <v>120</v>
      </c>
      <c r="S96" s="1732">
        <f>'11.2. Нови активи отч.год.'!S97</f>
        <v>0</v>
      </c>
      <c r="T96" s="928">
        <f>($T47*$C96)/$E$6</f>
        <v>0</v>
      </c>
      <c r="U96" s="882">
        <f>($T47*$C96)+($U47*$C96)/$E$6</f>
        <v>0</v>
      </c>
      <c r="V96" s="882">
        <f>($T47*$C96)+($U47*$C96)+($V47*$C96)/$E$6</f>
        <v>0</v>
      </c>
      <c r="W96" s="882">
        <f>($T47*$C96)+($U47*$C96)+($V47*$C96)+($W47*$C96)/$E$6</f>
        <v>0</v>
      </c>
      <c r="X96" s="882">
        <f>($T47*$C96)+($U47*$C96)+($V47*$C96)+($W47*$C96)+($X47*$C96)/$E$6</f>
        <v>0</v>
      </c>
      <c r="Y96" s="981">
        <f>($T47*$C96)+($U47*$C96)+($V47*$C96)+($W47*$C96)+($X47*$C96)+($Y47*$C96)/$E$6</f>
        <v>0</v>
      </c>
      <c r="Z96" s="1732">
        <f>'11.2. Нови активи отч.год.'!Z97</f>
        <v>0</v>
      </c>
      <c r="AA96" s="881">
        <f>($AA47*$C96)/$E$6</f>
        <v>0</v>
      </c>
      <c r="AB96" s="882">
        <f>($AA47*$C96)+($AB47*$C96)/$E$6</f>
        <v>0</v>
      </c>
      <c r="AC96" s="882">
        <f>($AA47*$C96)+($AB47*$C96)+($AC47*$C96)/$E$6</f>
        <v>0</v>
      </c>
      <c r="AD96" s="882">
        <f>($AA47*$C96)+($AB47*$C96)+($AC47*$C96)+($AD47*$C96)/$E$6</f>
        <v>0</v>
      </c>
      <c r="AE96" s="882">
        <f>($AA47*$C96)+($AB47*$C96)+($AC47*$C96)+($AD47*$C96)+($AE47*$C96)/$E$6</f>
        <v>0</v>
      </c>
      <c r="AF96" s="883">
        <f>($AA47*$C96)+($AB47*$C96)+($AC47*$C96)+($AD47*$C96)+($AE47*$C96)+($AF47*$C96)/$E$6</f>
        <v>0</v>
      </c>
      <c r="AG96" s="307"/>
      <c r="AH96" s="566"/>
    </row>
    <row r="97" spans="1:34">
      <c r="A97" s="892"/>
      <c r="B97" s="892">
        <v>20504</v>
      </c>
      <c r="C97" s="1634">
        <v>0.1</v>
      </c>
      <c r="D97" s="1626" t="s">
        <v>759</v>
      </c>
      <c r="E97" s="925">
        <f>'11.2. Нови активи отч.год.'!E98</f>
        <v>0</v>
      </c>
      <c r="F97" s="893">
        <f>($F48*$C97)/$E$6</f>
        <v>0</v>
      </c>
      <c r="G97" s="882">
        <f>($F48*$C97)+($G48*$C97)/$E$6</f>
        <v>0</v>
      </c>
      <c r="H97" s="882">
        <f>($F48*$C97)+($G48*$C97)+($H48*$C97)/$E$6</f>
        <v>0</v>
      </c>
      <c r="I97" s="882">
        <f>($F48*$C97)+($G48*$C97)+($H48*$C97)+($I48*$C97)/$E$6</f>
        <v>0</v>
      </c>
      <c r="J97" s="882">
        <f>($F48*$C97)+($G48*$C97)+($H48*$C97)+($I48*$C97)+($J48*$C97)/$E$6</f>
        <v>0</v>
      </c>
      <c r="K97" s="981">
        <f>($F48*$C97)+($G48*$C97)+($H48*$C97)+($I48*$C97)+($J48*$C97)+($K48*$C97)/$E$6</f>
        <v>0</v>
      </c>
      <c r="L97" s="925">
        <f>'11.2. Нови активи отч.год.'!L98</f>
        <v>0</v>
      </c>
      <c r="M97" s="881">
        <f>($M48*$C97)/$E$6</f>
        <v>0</v>
      </c>
      <c r="N97" s="882">
        <f>($M48*$C97)+($N48*$C97)/$E$6</f>
        <v>0</v>
      </c>
      <c r="O97" s="882">
        <f>($M48*$C97)+($N48*$C97)+($O48*$C97)/$E$6</f>
        <v>0</v>
      </c>
      <c r="P97" s="882">
        <f>($M48*$C97)+($N48*$C97)+($O48*$C97)+($P48*$C97)/$E$6</f>
        <v>0</v>
      </c>
      <c r="Q97" s="981">
        <f>($M48*$C97)+($N48*$C97)+($O48*$C97)+($P48*$C97)+($Q48*$C97)/$E$6</f>
        <v>0</v>
      </c>
      <c r="R97" s="883">
        <f>($M48*$C97)+($N48*$C97)+($O48*$C97)+($P48*$C97)+($Q48*$C97)+($R48*$C97)/$E$6</f>
        <v>0</v>
      </c>
      <c r="S97" s="1732">
        <f>'11.2. Нови активи отч.год.'!S98</f>
        <v>0</v>
      </c>
      <c r="T97" s="928">
        <f>($T48*$C97)/$E$6</f>
        <v>0</v>
      </c>
      <c r="U97" s="882">
        <f>($T48*$C97)+($U48*$C97)/$E$6</f>
        <v>0</v>
      </c>
      <c r="V97" s="882">
        <f>($T48*$C97)+($U48*$C97)+($V48*$C97)/$E$6</f>
        <v>0</v>
      </c>
      <c r="W97" s="882">
        <f>($T48*$C97)+($U48*$C97)+($V48*$C97)+($W48*$C97)/$E$6</f>
        <v>0</v>
      </c>
      <c r="X97" s="882">
        <f>($T48*$C97)+($U48*$C97)+($V48*$C97)+($W48*$C97)+($X48*$C97)/$E$6</f>
        <v>0</v>
      </c>
      <c r="Y97" s="981">
        <f>($T48*$C97)+($U48*$C97)+($V48*$C97)+($W48*$C97)+($X48*$C97)+($Y48*$C97)/$E$6</f>
        <v>0</v>
      </c>
      <c r="Z97" s="1732">
        <f>'11.2. Нови активи отч.год.'!Z98</f>
        <v>0</v>
      </c>
      <c r="AA97" s="881">
        <f>($AA48*$C97)/$E$6</f>
        <v>0</v>
      </c>
      <c r="AB97" s="882">
        <f>($AA48*$C97)+($AB48*$C97)/$E$6</f>
        <v>0</v>
      </c>
      <c r="AC97" s="882">
        <f>($AA48*$C97)+($AB48*$C97)+($AC48*$C97)/$E$6</f>
        <v>0</v>
      </c>
      <c r="AD97" s="882">
        <f>($AA48*$C97)+($AB48*$C97)+($AC48*$C97)+($AD48*$C97)/$E$6</f>
        <v>0</v>
      </c>
      <c r="AE97" s="882">
        <f>($AA48*$C97)+($AB48*$C97)+($AC48*$C97)+($AD48*$C97)+($AE48*$C97)/$E$6</f>
        <v>0</v>
      </c>
      <c r="AF97" s="883">
        <f>($AA48*$C97)+($AB48*$C97)+($AC48*$C97)+($AD48*$C97)+($AE48*$C97)+($AF48*$C97)/$E$6</f>
        <v>0</v>
      </c>
      <c r="AG97" s="307"/>
      <c r="AH97" s="566"/>
    </row>
    <row r="98" spans="1:34" s="262" customFormat="1">
      <c r="A98" s="937">
        <v>6</v>
      </c>
      <c r="B98" s="937">
        <v>206</v>
      </c>
      <c r="C98" s="1819">
        <v>0.1</v>
      </c>
      <c r="D98" s="1816" t="s">
        <v>564</v>
      </c>
      <c r="E98" s="980">
        <f t="shared" ref="E98:K98" si="82">SUM(E99:E101)</f>
        <v>2.2000000000000002</v>
      </c>
      <c r="F98" s="974">
        <f t="shared" si="82"/>
        <v>0</v>
      </c>
      <c r="G98" s="975">
        <f t="shared" si="82"/>
        <v>0</v>
      </c>
      <c r="H98" s="975">
        <f t="shared" si="82"/>
        <v>0</v>
      </c>
      <c r="I98" s="975">
        <f t="shared" si="82"/>
        <v>0</v>
      </c>
      <c r="J98" s="975">
        <f t="shared" si="82"/>
        <v>0</v>
      </c>
      <c r="K98" s="976">
        <f t="shared" si="82"/>
        <v>0</v>
      </c>
      <c r="L98" s="977">
        <f t="shared" ref="L98:AF98" si="83">SUM(L99:L101)</f>
        <v>0</v>
      </c>
      <c r="M98" s="974">
        <f t="shared" si="83"/>
        <v>0</v>
      </c>
      <c r="N98" s="975">
        <f t="shared" si="83"/>
        <v>0</v>
      </c>
      <c r="O98" s="975">
        <f t="shared" si="83"/>
        <v>0</v>
      </c>
      <c r="P98" s="975">
        <f t="shared" si="83"/>
        <v>0</v>
      </c>
      <c r="Q98" s="975">
        <f t="shared" si="83"/>
        <v>0</v>
      </c>
      <c r="R98" s="978">
        <f t="shared" si="83"/>
        <v>0</v>
      </c>
      <c r="S98" s="977">
        <f t="shared" si="83"/>
        <v>0</v>
      </c>
      <c r="T98" s="979">
        <f t="shared" si="83"/>
        <v>0</v>
      </c>
      <c r="U98" s="975">
        <f t="shared" si="83"/>
        <v>0</v>
      </c>
      <c r="V98" s="975">
        <f t="shared" si="83"/>
        <v>0</v>
      </c>
      <c r="W98" s="975">
        <f t="shared" si="83"/>
        <v>0</v>
      </c>
      <c r="X98" s="975">
        <f t="shared" si="83"/>
        <v>0</v>
      </c>
      <c r="Y98" s="978">
        <f t="shared" si="83"/>
        <v>0</v>
      </c>
      <c r="Z98" s="977">
        <f t="shared" si="83"/>
        <v>2.2000000000000002</v>
      </c>
      <c r="AA98" s="979">
        <f t="shared" si="83"/>
        <v>4.4000000000000004</v>
      </c>
      <c r="AB98" s="975">
        <f t="shared" si="83"/>
        <v>12.8</v>
      </c>
      <c r="AC98" s="975">
        <f t="shared" si="83"/>
        <v>20.55</v>
      </c>
      <c r="AD98" s="975">
        <f t="shared" si="83"/>
        <v>27.8</v>
      </c>
      <c r="AE98" s="975">
        <f t="shared" si="83"/>
        <v>35.299999999999997</v>
      </c>
      <c r="AF98" s="978">
        <f t="shared" si="83"/>
        <v>43.8</v>
      </c>
      <c r="AG98" s="307"/>
      <c r="AH98" s="565"/>
    </row>
    <row r="99" spans="1:34">
      <c r="A99" s="937"/>
      <c r="B99" s="892">
        <v>20601</v>
      </c>
      <c r="C99" s="1634">
        <v>0.1</v>
      </c>
      <c r="D99" s="1626" t="s">
        <v>766</v>
      </c>
      <c r="E99" s="925">
        <f>'11.2. Нови активи отч.год.'!E100</f>
        <v>2.2000000000000002</v>
      </c>
      <c r="F99" s="893">
        <f t="shared" ref="F99:F107" si="84">($F50*$C99)/$E$6</f>
        <v>0</v>
      </c>
      <c r="G99" s="882">
        <f t="shared" ref="G99:G107" si="85">($F50*$C99)+($G50*$C99)/$E$6</f>
        <v>0</v>
      </c>
      <c r="H99" s="882">
        <f t="shared" ref="H99:H107" si="86">($F50*$C99)+($G50*$C99)+($H50*$C99)/$E$6</f>
        <v>0</v>
      </c>
      <c r="I99" s="882">
        <f t="shared" ref="I99:I107" si="87">($F50*$C99)+($G50*$C99)+($H50*$C99)+($I50*$C99)/$E$6</f>
        <v>0</v>
      </c>
      <c r="J99" s="882">
        <f t="shared" ref="J99:J107" si="88">($F50*$C99)+($G50*$C99)+($H50*$C99)+($I50*$C99)+($J50*$C99)/$E$6</f>
        <v>0</v>
      </c>
      <c r="K99" s="981">
        <f t="shared" ref="K99:K107" si="89">($F50*$C99)+($G50*$C99)+($H50*$C99)+($I50*$C99)+($J50*$C99)+($K50*$C99)/$E$6</f>
        <v>0</v>
      </c>
      <c r="L99" s="925">
        <f>'11.2. Нови активи отч.год.'!L100</f>
        <v>0</v>
      </c>
      <c r="M99" s="881">
        <f t="shared" ref="M99:M107" si="90">($M50*$C99)/$E$6</f>
        <v>0</v>
      </c>
      <c r="N99" s="882">
        <f t="shared" ref="N99:N107" si="91">($M50*$C99)+($N50*$C99)/$E$6</f>
        <v>0</v>
      </c>
      <c r="O99" s="882">
        <f t="shared" ref="O99:O107" si="92">($M50*$C99)+($N50*$C99)+($O50*$C99)/$E$6</f>
        <v>0</v>
      </c>
      <c r="P99" s="882">
        <f t="shared" ref="P99:P107" si="93">($M50*$C99)+($N50*$C99)+($O50*$C99)+($P50*$C99)/$E$6</f>
        <v>0</v>
      </c>
      <c r="Q99" s="981">
        <f t="shared" ref="Q99:Q107" si="94">($M50*$C99)+($N50*$C99)+($O50*$C99)+($P50*$C99)+($Q50*$C99)/$E$6</f>
        <v>0</v>
      </c>
      <c r="R99" s="883">
        <f t="shared" ref="R99:R107" si="95">($M50*$C99)+($N50*$C99)+($O50*$C99)+($P50*$C99)+($Q50*$C99)+($R50*$C99)/$E$6</f>
        <v>0</v>
      </c>
      <c r="S99" s="1732">
        <f>'11.2. Нови активи отч.год.'!S100</f>
        <v>0</v>
      </c>
      <c r="T99" s="928">
        <f t="shared" ref="T99:T107" si="96">($T50*$C99)/$E$6</f>
        <v>0</v>
      </c>
      <c r="U99" s="882">
        <f t="shared" ref="U99:U107" si="97">($T50*$C99)+($U50*$C99)/$E$6</f>
        <v>0</v>
      </c>
      <c r="V99" s="882">
        <f t="shared" ref="V99:V107" si="98">($T50*$C99)+($U50*$C99)+($V50*$C99)/$E$6</f>
        <v>0</v>
      </c>
      <c r="W99" s="882">
        <f t="shared" ref="W99:W107" si="99">($T50*$C99)+($U50*$C99)+($V50*$C99)+($W50*$C99)/$E$6</f>
        <v>0</v>
      </c>
      <c r="X99" s="882">
        <f t="shared" ref="X99:X107" si="100">($T50*$C99)+($U50*$C99)+($V50*$C99)+($W50*$C99)+($X50*$C99)/$E$6</f>
        <v>0</v>
      </c>
      <c r="Y99" s="981">
        <f t="shared" ref="Y99:Y107" si="101">($T50*$C99)+($U50*$C99)+($V50*$C99)+($W50*$C99)+($X50*$C99)+($Y50*$C99)/$E$6</f>
        <v>0</v>
      </c>
      <c r="Z99" s="1732">
        <f>'11.2. Нови активи отч.год.'!Z100</f>
        <v>2.2000000000000002</v>
      </c>
      <c r="AA99" s="881">
        <f t="shared" ref="AA99:AA107" si="102">($AA50*$C99)/$E$6</f>
        <v>4.4000000000000004</v>
      </c>
      <c r="AB99" s="882">
        <f t="shared" ref="AB99:AB107" si="103">($AA50*$C99)+($AB50*$C99)/$E$6</f>
        <v>12.8</v>
      </c>
      <c r="AC99" s="882">
        <f t="shared" ref="AC99:AC107" si="104">($AA50*$C99)+($AB50*$C99)+($AC50*$C99)/$E$6</f>
        <v>20.55</v>
      </c>
      <c r="AD99" s="882">
        <f t="shared" ref="AD99:AD107" si="105">($AA50*$C99)+($AB50*$C99)+($AC50*$C99)+($AD50*$C99)/$E$6</f>
        <v>27.8</v>
      </c>
      <c r="AE99" s="882">
        <f t="shared" ref="AE99:AE107" si="106">($AA50*$C99)+($AB50*$C99)+($AC50*$C99)+($AD50*$C99)+($AE50*$C99)/$E$6</f>
        <v>35.299999999999997</v>
      </c>
      <c r="AF99" s="883">
        <f t="shared" ref="AF99:AF107" si="107">($AA50*$C99)+($AB50*$C99)+($AC50*$C99)+($AD50*$C99)+($AE50*$C99)+($AF50*$C99)/$E$6</f>
        <v>43.8</v>
      </c>
      <c r="AG99" s="307"/>
      <c r="AH99" s="566"/>
    </row>
    <row r="100" spans="1:34">
      <c r="A100" s="937"/>
      <c r="B100" s="892">
        <v>20602</v>
      </c>
      <c r="C100" s="1634">
        <v>0.1</v>
      </c>
      <c r="D100" s="1626" t="s">
        <v>607</v>
      </c>
      <c r="E100" s="925">
        <f>'11.2. Нови активи отч.год.'!E101</f>
        <v>0</v>
      </c>
      <c r="F100" s="893">
        <f t="shared" si="84"/>
        <v>0</v>
      </c>
      <c r="G100" s="882">
        <f t="shared" si="85"/>
        <v>0</v>
      </c>
      <c r="H100" s="882">
        <f t="shared" si="86"/>
        <v>0</v>
      </c>
      <c r="I100" s="882">
        <f t="shared" si="87"/>
        <v>0</v>
      </c>
      <c r="J100" s="882">
        <f t="shared" si="88"/>
        <v>0</v>
      </c>
      <c r="K100" s="981">
        <f t="shared" si="89"/>
        <v>0</v>
      </c>
      <c r="L100" s="925">
        <f>'11.2. Нови активи отч.год.'!L101</f>
        <v>0</v>
      </c>
      <c r="M100" s="881">
        <f t="shared" si="90"/>
        <v>0</v>
      </c>
      <c r="N100" s="882">
        <f t="shared" si="91"/>
        <v>0</v>
      </c>
      <c r="O100" s="882">
        <f t="shared" si="92"/>
        <v>0</v>
      </c>
      <c r="P100" s="882">
        <f t="shared" si="93"/>
        <v>0</v>
      </c>
      <c r="Q100" s="981">
        <f t="shared" si="94"/>
        <v>0</v>
      </c>
      <c r="R100" s="883">
        <f t="shared" si="95"/>
        <v>0</v>
      </c>
      <c r="S100" s="1732">
        <f>'11.2. Нови активи отч.год.'!S101</f>
        <v>0</v>
      </c>
      <c r="T100" s="928">
        <f t="shared" si="96"/>
        <v>0</v>
      </c>
      <c r="U100" s="882">
        <f t="shared" si="97"/>
        <v>0</v>
      </c>
      <c r="V100" s="882">
        <f t="shared" si="98"/>
        <v>0</v>
      </c>
      <c r="W100" s="882">
        <f t="shared" si="99"/>
        <v>0</v>
      </c>
      <c r="X100" s="882">
        <f t="shared" si="100"/>
        <v>0</v>
      </c>
      <c r="Y100" s="981">
        <f t="shared" si="101"/>
        <v>0</v>
      </c>
      <c r="Z100" s="1732">
        <f>'11.2. Нови активи отч.год.'!Z101</f>
        <v>0</v>
      </c>
      <c r="AA100" s="881">
        <f t="shared" si="102"/>
        <v>0</v>
      </c>
      <c r="AB100" s="882">
        <f t="shared" si="103"/>
        <v>0</v>
      </c>
      <c r="AC100" s="882">
        <f t="shared" si="104"/>
        <v>0</v>
      </c>
      <c r="AD100" s="882">
        <f t="shared" si="105"/>
        <v>0</v>
      </c>
      <c r="AE100" s="882">
        <f t="shared" si="106"/>
        <v>0</v>
      </c>
      <c r="AF100" s="883">
        <f t="shared" si="107"/>
        <v>0</v>
      </c>
      <c r="AG100" s="307"/>
      <c r="AH100" s="566"/>
    </row>
    <row r="101" spans="1:34">
      <c r="A101" s="937"/>
      <c r="B101" s="1820">
        <v>20603</v>
      </c>
      <c r="C101" s="1821">
        <v>0.5</v>
      </c>
      <c r="D101" s="1822" t="s">
        <v>1441</v>
      </c>
      <c r="E101" s="925">
        <f>'11.2. Нови активи отч.год.'!E102</f>
        <v>0</v>
      </c>
      <c r="F101" s="893">
        <f t="shared" si="84"/>
        <v>0</v>
      </c>
      <c r="G101" s="882">
        <f t="shared" si="85"/>
        <v>0</v>
      </c>
      <c r="H101" s="882">
        <f t="shared" si="86"/>
        <v>0</v>
      </c>
      <c r="I101" s="882">
        <f t="shared" si="87"/>
        <v>0</v>
      </c>
      <c r="J101" s="882">
        <f t="shared" si="88"/>
        <v>0</v>
      </c>
      <c r="K101" s="981">
        <f t="shared" si="89"/>
        <v>0</v>
      </c>
      <c r="L101" s="925">
        <f>'11.2. Нови активи отч.год.'!L102</f>
        <v>0</v>
      </c>
      <c r="M101" s="881">
        <f t="shared" si="90"/>
        <v>0</v>
      </c>
      <c r="N101" s="882">
        <f t="shared" si="91"/>
        <v>0</v>
      </c>
      <c r="O101" s="882">
        <f t="shared" si="92"/>
        <v>0</v>
      </c>
      <c r="P101" s="882">
        <f t="shared" si="93"/>
        <v>0</v>
      </c>
      <c r="Q101" s="981">
        <f t="shared" si="94"/>
        <v>0</v>
      </c>
      <c r="R101" s="883">
        <f t="shared" si="95"/>
        <v>0</v>
      </c>
      <c r="S101" s="1732">
        <f>'11.2. Нови активи отч.год.'!S102</f>
        <v>0</v>
      </c>
      <c r="T101" s="928">
        <f t="shared" si="96"/>
        <v>0</v>
      </c>
      <c r="U101" s="882">
        <f t="shared" si="97"/>
        <v>0</v>
      </c>
      <c r="V101" s="882">
        <f t="shared" si="98"/>
        <v>0</v>
      </c>
      <c r="W101" s="882">
        <f t="shared" si="99"/>
        <v>0</v>
      </c>
      <c r="X101" s="882">
        <f t="shared" si="100"/>
        <v>0</v>
      </c>
      <c r="Y101" s="981">
        <f t="shared" si="101"/>
        <v>0</v>
      </c>
      <c r="Z101" s="1732">
        <f>'11.2. Нови активи отч.год.'!Z102</f>
        <v>0</v>
      </c>
      <c r="AA101" s="881">
        <f t="shared" si="102"/>
        <v>0</v>
      </c>
      <c r="AB101" s="882">
        <f t="shared" si="103"/>
        <v>0</v>
      </c>
      <c r="AC101" s="882">
        <f t="shared" si="104"/>
        <v>0</v>
      </c>
      <c r="AD101" s="882">
        <f t="shared" si="105"/>
        <v>0</v>
      </c>
      <c r="AE101" s="882">
        <f t="shared" si="106"/>
        <v>0</v>
      </c>
      <c r="AF101" s="883">
        <f t="shared" si="107"/>
        <v>0</v>
      </c>
      <c r="AG101" s="307"/>
      <c r="AH101" s="566"/>
    </row>
    <row r="102" spans="1:34" s="262" customFormat="1">
      <c r="A102" s="937">
        <v>7</v>
      </c>
      <c r="B102" s="937">
        <v>208</v>
      </c>
      <c r="C102" s="1819">
        <v>0.2</v>
      </c>
      <c r="D102" s="1816" t="s">
        <v>585</v>
      </c>
      <c r="E102" s="921">
        <f>'11.2. Нови активи отч.год.'!E103</f>
        <v>1.8</v>
      </c>
      <c r="F102" s="988">
        <f t="shared" si="84"/>
        <v>0</v>
      </c>
      <c r="G102" s="989">
        <f t="shared" si="85"/>
        <v>0</v>
      </c>
      <c r="H102" s="989">
        <f t="shared" si="86"/>
        <v>0</v>
      </c>
      <c r="I102" s="989">
        <f t="shared" si="87"/>
        <v>0</v>
      </c>
      <c r="J102" s="989">
        <f t="shared" si="88"/>
        <v>0</v>
      </c>
      <c r="K102" s="990">
        <f t="shared" si="89"/>
        <v>0</v>
      </c>
      <c r="L102" s="921">
        <f>'11.2. Нови активи отч.год.'!L103</f>
        <v>0</v>
      </c>
      <c r="M102" s="988">
        <f t="shared" si="90"/>
        <v>0</v>
      </c>
      <c r="N102" s="989">
        <f t="shared" si="91"/>
        <v>0</v>
      </c>
      <c r="O102" s="989">
        <f t="shared" si="92"/>
        <v>0</v>
      </c>
      <c r="P102" s="989">
        <f t="shared" si="93"/>
        <v>0</v>
      </c>
      <c r="Q102" s="990">
        <f t="shared" si="94"/>
        <v>0</v>
      </c>
      <c r="R102" s="992">
        <f t="shared" si="95"/>
        <v>0</v>
      </c>
      <c r="S102" s="2916">
        <f>'11.2. Нови активи отч.год.'!S103</f>
        <v>0</v>
      </c>
      <c r="T102" s="991">
        <f t="shared" si="96"/>
        <v>0</v>
      </c>
      <c r="U102" s="989">
        <f t="shared" si="97"/>
        <v>0</v>
      </c>
      <c r="V102" s="989">
        <f t="shared" si="98"/>
        <v>0</v>
      </c>
      <c r="W102" s="989">
        <f t="shared" si="99"/>
        <v>0</v>
      </c>
      <c r="X102" s="989">
        <f t="shared" si="100"/>
        <v>0</v>
      </c>
      <c r="Y102" s="992">
        <f t="shared" si="101"/>
        <v>0</v>
      </c>
      <c r="Z102" s="2916">
        <f>'11.2. Нови активи отч.год.'!Z103</f>
        <v>1.8</v>
      </c>
      <c r="AA102" s="991">
        <f t="shared" si="102"/>
        <v>0</v>
      </c>
      <c r="AB102" s="989">
        <f t="shared" si="103"/>
        <v>0</v>
      </c>
      <c r="AC102" s="989">
        <f t="shared" si="104"/>
        <v>0</v>
      </c>
      <c r="AD102" s="989">
        <f t="shared" si="105"/>
        <v>0</v>
      </c>
      <c r="AE102" s="989">
        <f t="shared" si="106"/>
        <v>0</v>
      </c>
      <c r="AF102" s="992">
        <f t="shared" si="107"/>
        <v>0</v>
      </c>
      <c r="AG102" s="307"/>
      <c r="AH102" s="565"/>
    </row>
    <row r="103" spans="1:34" s="262" customFormat="1">
      <c r="A103" s="937">
        <v>8</v>
      </c>
      <c r="B103" s="937">
        <v>209</v>
      </c>
      <c r="C103" s="1819">
        <v>0.1</v>
      </c>
      <c r="D103" s="1816" t="s">
        <v>276</v>
      </c>
      <c r="E103" s="921">
        <f>'11.2. Нови активи отч.год.'!E104</f>
        <v>0</v>
      </c>
      <c r="F103" s="988">
        <f t="shared" si="84"/>
        <v>0</v>
      </c>
      <c r="G103" s="989">
        <f t="shared" si="85"/>
        <v>0</v>
      </c>
      <c r="H103" s="989">
        <f t="shared" si="86"/>
        <v>0</v>
      </c>
      <c r="I103" s="989">
        <f t="shared" si="87"/>
        <v>0</v>
      </c>
      <c r="J103" s="989">
        <f t="shared" si="88"/>
        <v>0</v>
      </c>
      <c r="K103" s="990">
        <f t="shared" si="89"/>
        <v>0</v>
      </c>
      <c r="L103" s="921">
        <f>'11.2. Нови активи отч.год.'!L104</f>
        <v>0</v>
      </c>
      <c r="M103" s="988">
        <f t="shared" si="90"/>
        <v>0</v>
      </c>
      <c r="N103" s="989">
        <f t="shared" si="91"/>
        <v>0</v>
      </c>
      <c r="O103" s="989">
        <f t="shared" si="92"/>
        <v>0</v>
      </c>
      <c r="P103" s="989">
        <f t="shared" si="93"/>
        <v>0</v>
      </c>
      <c r="Q103" s="990">
        <f t="shared" si="94"/>
        <v>0</v>
      </c>
      <c r="R103" s="992">
        <f t="shared" si="95"/>
        <v>0</v>
      </c>
      <c r="S103" s="2916">
        <f>'11.2. Нови активи отч.год.'!S104</f>
        <v>0</v>
      </c>
      <c r="T103" s="991">
        <f t="shared" si="96"/>
        <v>0</v>
      </c>
      <c r="U103" s="989">
        <f t="shared" si="97"/>
        <v>0</v>
      </c>
      <c r="V103" s="989">
        <f t="shared" si="98"/>
        <v>0</v>
      </c>
      <c r="W103" s="989">
        <f t="shared" si="99"/>
        <v>0</v>
      </c>
      <c r="X103" s="989">
        <f t="shared" si="100"/>
        <v>0</v>
      </c>
      <c r="Y103" s="992">
        <f t="shared" si="101"/>
        <v>0</v>
      </c>
      <c r="Z103" s="2916">
        <f>'11.2. Нови активи отч.год.'!Z104</f>
        <v>0</v>
      </c>
      <c r="AA103" s="991">
        <f t="shared" si="102"/>
        <v>0</v>
      </c>
      <c r="AB103" s="989">
        <f t="shared" si="103"/>
        <v>0</v>
      </c>
      <c r="AC103" s="989">
        <f t="shared" si="104"/>
        <v>0</v>
      </c>
      <c r="AD103" s="989">
        <f t="shared" si="105"/>
        <v>0</v>
      </c>
      <c r="AE103" s="989">
        <f t="shared" si="106"/>
        <v>0</v>
      </c>
      <c r="AF103" s="992">
        <f t="shared" si="107"/>
        <v>0</v>
      </c>
      <c r="AG103" s="307"/>
      <c r="AH103" s="565"/>
    </row>
    <row r="104" spans="1:34" s="262" customFormat="1">
      <c r="A104" s="937">
        <v>9</v>
      </c>
      <c r="B104" s="937">
        <v>212</v>
      </c>
      <c r="C104" s="1819">
        <v>0.2</v>
      </c>
      <c r="D104" s="1823" t="s">
        <v>277</v>
      </c>
      <c r="E104" s="921">
        <f>'11.2. Нови активи отч.год.'!E105</f>
        <v>0</v>
      </c>
      <c r="F104" s="988">
        <f t="shared" si="84"/>
        <v>0</v>
      </c>
      <c r="G104" s="989">
        <f t="shared" si="85"/>
        <v>0</v>
      </c>
      <c r="H104" s="989">
        <f t="shared" si="86"/>
        <v>0</v>
      </c>
      <c r="I104" s="989">
        <f t="shared" si="87"/>
        <v>0</v>
      </c>
      <c r="J104" s="989">
        <f t="shared" si="88"/>
        <v>0</v>
      </c>
      <c r="K104" s="990">
        <f t="shared" si="89"/>
        <v>0</v>
      </c>
      <c r="L104" s="921">
        <f>'11.2. Нови активи отч.год.'!L105</f>
        <v>0</v>
      </c>
      <c r="M104" s="988">
        <f t="shared" si="90"/>
        <v>0</v>
      </c>
      <c r="N104" s="989">
        <f t="shared" si="91"/>
        <v>0</v>
      </c>
      <c r="O104" s="989">
        <f t="shared" si="92"/>
        <v>0</v>
      </c>
      <c r="P104" s="989">
        <f t="shared" si="93"/>
        <v>0</v>
      </c>
      <c r="Q104" s="990">
        <f t="shared" si="94"/>
        <v>0</v>
      </c>
      <c r="R104" s="992">
        <f t="shared" si="95"/>
        <v>0</v>
      </c>
      <c r="S104" s="2916">
        <f>'11.2. Нови активи отч.год.'!S105</f>
        <v>0</v>
      </c>
      <c r="T104" s="991">
        <f t="shared" si="96"/>
        <v>0</v>
      </c>
      <c r="U104" s="989">
        <f t="shared" si="97"/>
        <v>0</v>
      </c>
      <c r="V104" s="989">
        <f t="shared" si="98"/>
        <v>0</v>
      </c>
      <c r="W104" s="989">
        <f t="shared" si="99"/>
        <v>0</v>
      </c>
      <c r="X104" s="989">
        <f t="shared" si="100"/>
        <v>0</v>
      </c>
      <c r="Y104" s="992">
        <f t="shared" si="101"/>
        <v>0</v>
      </c>
      <c r="Z104" s="2916">
        <f>'11.2. Нови активи отч.год.'!Z105</f>
        <v>0</v>
      </c>
      <c r="AA104" s="991">
        <f t="shared" si="102"/>
        <v>0.4</v>
      </c>
      <c r="AB104" s="989">
        <f t="shared" si="103"/>
        <v>1.8</v>
      </c>
      <c r="AC104" s="989">
        <f t="shared" si="104"/>
        <v>3.8</v>
      </c>
      <c r="AD104" s="989">
        <f t="shared" si="105"/>
        <v>5.8</v>
      </c>
      <c r="AE104" s="989">
        <f t="shared" si="106"/>
        <v>7.8</v>
      </c>
      <c r="AF104" s="992">
        <f t="shared" si="107"/>
        <v>9.8000000000000007</v>
      </c>
      <c r="AG104" s="307"/>
      <c r="AH104" s="565"/>
    </row>
    <row r="105" spans="1:34" s="262" customFormat="1">
      <c r="A105" s="937">
        <v>10</v>
      </c>
      <c r="B105" s="937">
        <v>213</v>
      </c>
      <c r="C105" s="1819">
        <v>0.2</v>
      </c>
      <c r="D105" s="1811" t="s">
        <v>278</v>
      </c>
      <c r="E105" s="921">
        <f>'11.2. Нови активи отч.год.'!E106</f>
        <v>0</v>
      </c>
      <c r="F105" s="988">
        <f t="shared" si="84"/>
        <v>0</v>
      </c>
      <c r="G105" s="989">
        <f t="shared" si="85"/>
        <v>0</v>
      </c>
      <c r="H105" s="989">
        <f t="shared" si="86"/>
        <v>0</v>
      </c>
      <c r="I105" s="989">
        <f t="shared" si="87"/>
        <v>0</v>
      </c>
      <c r="J105" s="989">
        <f t="shared" si="88"/>
        <v>0</v>
      </c>
      <c r="K105" s="990">
        <f t="shared" si="89"/>
        <v>0</v>
      </c>
      <c r="L105" s="921">
        <f>'11.2. Нови активи отч.год.'!L106</f>
        <v>0</v>
      </c>
      <c r="M105" s="988">
        <f t="shared" si="90"/>
        <v>0</v>
      </c>
      <c r="N105" s="989">
        <f t="shared" si="91"/>
        <v>0</v>
      </c>
      <c r="O105" s="989">
        <f t="shared" si="92"/>
        <v>0</v>
      </c>
      <c r="P105" s="989">
        <f t="shared" si="93"/>
        <v>0</v>
      </c>
      <c r="Q105" s="990">
        <f t="shared" si="94"/>
        <v>0</v>
      </c>
      <c r="R105" s="992">
        <f t="shared" si="95"/>
        <v>0</v>
      </c>
      <c r="S105" s="2916">
        <f>'11.2. Нови активи отч.год.'!S106</f>
        <v>0</v>
      </c>
      <c r="T105" s="991">
        <f t="shared" si="96"/>
        <v>0</v>
      </c>
      <c r="U105" s="989">
        <f t="shared" si="97"/>
        <v>0</v>
      </c>
      <c r="V105" s="989">
        <f t="shared" si="98"/>
        <v>0</v>
      </c>
      <c r="W105" s="989">
        <f t="shared" si="99"/>
        <v>0</v>
      </c>
      <c r="X105" s="989">
        <f t="shared" si="100"/>
        <v>0</v>
      </c>
      <c r="Y105" s="992">
        <f t="shared" si="101"/>
        <v>0</v>
      </c>
      <c r="Z105" s="2916">
        <f>'11.2. Нови активи отч.год.'!Z106</f>
        <v>0</v>
      </c>
      <c r="AA105" s="991">
        <f t="shared" si="102"/>
        <v>0</v>
      </c>
      <c r="AB105" s="989">
        <f t="shared" si="103"/>
        <v>0</v>
      </c>
      <c r="AC105" s="989">
        <f t="shared" si="104"/>
        <v>0</v>
      </c>
      <c r="AD105" s="989">
        <f t="shared" si="105"/>
        <v>0</v>
      </c>
      <c r="AE105" s="989">
        <f t="shared" si="106"/>
        <v>0</v>
      </c>
      <c r="AF105" s="992">
        <f t="shared" si="107"/>
        <v>0</v>
      </c>
      <c r="AG105" s="307"/>
      <c r="AH105" s="565"/>
    </row>
    <row r="106" spans="1:34" s="262" customFormat="1" ht="24">
      <c r="A106" s="960">
        <v>11</v>
      </c>
      <c r="B106" s="959">
        <v>215</v>
      </c>
      <c r="C106" s="1819">
        <v>0.2</v>
      </c>
      <c r="D106" s="1811" t="s">
        <v>911</v>
      </c>
      <c r="E106" s="921">
        <f>'11.2. Нови активи отч.год.'!E107</f>
        <v>0</v>
      </c>
      <c r="F106" s="988">
        <f t="shared" si="84"/>
        <v>0</v>
      </c>
      <c r="G106" s="989">
        <f t="shared" si="85"/>
        <v>0</v>
      </c>
      <c r="H106" s="989">
        <f t="shared" si="86"/>
        <v>0</v>
      </c>
      <c r="I106" s="989">
        <f t="shared" si="87"/>
        <v>0</v>
      </c>
      <c r="J106" s="989">
        <f t="shared" si="88"/>
        <v>0</v>
      </c>
      <c r="K106" s="990">
        <f t="shared" si="89"/>
        <v>0</v>
      </c>
      <c r="L106" s="921">
        <f>'11.2. Нови активи отч.год.'!L107</f>
        <v>0</v>
      </c>
      <c r="M106" s="988">
        <f t="shared" si="90"/>
        <v>0</v>
      </c>
      <c r="N106" s="989">
        <f t="shared" si="91"/>
        <v>0</v>
      </c>
      <c r="O106" s="989">
        <f t="shared" si="92"/>
        <v>0</v>
      </c>
      <c r="P106" s="989">
        <f t="shared" si="93"/>
        <v>0</v>
      </c>
      <c r="Q106" s="990">
        <f t="shared" si="94"/>
        <v>0</v>
      </c>
      <c r="R106" s="992">
        <f t="shared" si="95"/>
        <v>0</v>
      </c>
      <c r="S106" s="2916">
        <f>'11.2. Нови активи отч.год.'!S107</f>
        <v>0</v>
      </c>
      <c r="T106" s="991">
        <f t="shared" si="96"/>
        <v>0</v>
      </c>
      <c r="U106" s="989">
        <f t="shared" si="97"/>
        <v>0</v>
      </c>
      <c r="V106" s="989">
        <f t="shared" si="98"/>
        <v>0</v>
      </c>
      <c r="W106" s="989">
        <f t="shared" si="99"/>
        <v>0</v>
      </c>
      <c r="X106" s="989">
        <f t="shared" si="100"/>
        <v>0</v>
      </c>
      <c r="Y106" s="992">
        <f t="shared" si="101"/>
        <v>0</v>
      </c>
      <c r="Z106" s="2916">
        <f>'11.2. Нови активи отч.год.'!Z107</f>
        <v>0</v>
      </c>
      <c r="AA106" s="991">
        <f t="shared" si="102"/>
        <v>0</v>
      </c>
      <c r="AB106" s="989">
        <f t="shared" si="103"/>
        <v>0</v>
      </c>
      <c r="AC106" s="989">
        <f t="shared" si="104"/>
        <v>0</v>
      </c>
      <c r="AD106" s="989">
        <f t="shared" si="105"/>
        <v>0</v>
      </c>
      <c r="AE106" s="989">
        <f t="shared" si="106"/>
        <v>0</v>
      </c>
      <c r="AF106" s="992">
        <f t="shared" si="107"/>
        <v>0</v>
      </c>
      <c r="AG106" s="307"/>
      <c r="AH106" s="565"/>
    </row>
    <row r="107" spans="1:34" s="262" customFormat="1" ht="13.5" thickBot="1">
      <c r="A107" s="993">
        <v>12</v>
      </c>
      <c r="B107" s="993">
        <v>219</v>
      </c>
      <c r="C107" s="1824">
        <v>0.1</v>
      </c>
      <c r="D107" s="1825" t="s">
        <v>279</v>
      </c>
      <c r="E107" s="996">
        <f>'11.2. Нови активи отч.год.'!E108</f>
        <v>0</v>
      </c>
      <c r="F107" s="997">
        <f t="shared" si="84"/>
        <v>0</v>
      </c>
      <c r="G107" s="998">
        <f t="shared" si="85"/>
        <v>0</v>
      </c>
      <c r="H107" s="998">
        <f t="shared" si="86"/>
        <v>0</v>
      </c>
      <c r="I107" s="998">
        <f t="shared" si="87"/>
        <v>0</v>
      </c>
      <c r="J107" s="998">
        <f t="shared" si="88"/>
        <v>0</v>
      </c>
      <c r="K107" s="999">
        <f t="shared" si="89"/>
        <v>0</v>
      </c>
      <c r="L107" s="996">
        <f>'11.2. Нови активи отч.год.'!L108</f>
        <v>0</v>
      </c>
      <c r="M107" s="997">
        <f t="shared" si="90"/>
        <v>0</v>
      </c>
      <c r="N107" s="998">
        <f t="shared" si="91"/>
        <v>0</v>
      </c>
      <c r="O107" s="998">
        <f t="shared" si="92"/>
        <v>0</v>
      </c>
      <c r="P107" s="998">
        <f t="shared" si="93"/>
        <v>0</v>
      </c>
      <c r="Q107" s="999">
        <f t="shared" si="94"/>
        <v>0</v>
      </c>
      <c r="R107" s="1000">
        <f t="shared" si="95"/>
        <v>0</v>
      </c>
      <c r="S107" s="996">
        <f>'11.2. Нови активи отч.год.'!S108</f>
        <v>0</v>
      </c>
      <c r="T107" s="1001">
        <f t="shared" si="96"/>
        <v>0</v>
      </c>
      <c r="U107" s="998">
        <f t="shared" si="97"/>
        <v>0</v>
      </c>
      <c r="V107" s="998">
        <f t="shared" si="98"/>
        <v>0</v>
      </c>
      <c r="W107" s="998">
        <f t="shared" si="99"/>
        <v>0</v>
      </c>
      <c r="X107" s="998">
        <f t="shared" si="100"/>
        <v>0</v>
      </c>
      <c r="Y107" s="1000">
        <f t="shared" si="101"/>
        <v>0</v>
      </c>
      <c r="Z107" s="996">
        <f>'11.2. Нови активи отч.год.'!Z108</f>
        <v>0</v>
      </c>
      <c r="AA107" s="1001">
        <f t="shared" si="102"/>
        <v>0</v>
      </c>
      <c r="AB107" s="998">
        <f t="shared" si="103"/>
        <v>0</v>
      </c>
      <c r="AC107" s="998">
        <f t="shared" si="104"/>
        <v>0</v>
      </c>
      <c r="AD107" s="998">
        <f t="shared" si="105"/>
        <v>0</v>
      </c>
      <c r="AE107" s="998">
        <f t="shared" si="106"/>
        <v>0</v>
      </c>
      <c r="AF107" s="1000">
        <f t="shared" si="107"/>
        <v>0</v>
      </c>
      <c r="AG107" s="307"/>
      <c r="AH107" s="569"/>
    </row>
    <row r="108" spans="1:34" ht="13.5" thickBot="1">
      <c r="A108" s="1826"/>
      <c r="B108" s="337"/>
      <c r="C108" s="337"/>
      <c r="D108" s="337"/>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c r="AA108" s="338"/>
      <c r="AB108" s="338"/>
      <c r="AC108" s="338"/>
      <c r="AD108" s="338"/>
      <c r="AE108" s="338"/>
      <c r="AF108" s="338"/>
    </row>
    <row r="109" spans="1:34">
      <c r="A109" s="1826"/>
      <c r="B109" s="337"/>
      <c r="C109" s="337"/>
      <c r="D109" s="621" t="s">
        <v>570</v>
      </c>
      <c r="E109" s="622"/>
      <c r="F109" s="623">
        <f>IFERROR(F59/(F$59+M$59+T$59),0)</f>
        <v>0.98040902140672781</v>
      </c>
      <c r="G109" s="624">
        <f t="shared" ref="G109:K109" si="108">IFERROR(G59/(G$59+N$59+U$59),0)</f>
        <v>0.72338740337092888</v>
      </c>
      <c r="H109" s="624">
        <f t="shared" si="108"/>
        <v>0.59138718855073713</v>
      </c>
      <c r="I109" s="624">
        <f t="shared" si="108"/>
        <v>0.60155395466374983</v>
      </c>
      <c r="J109" s="624">
        <f t="shared" si="108"/>
        <v>0.6236484251214458</v>
      </c>
      <c r="K109" s="625">
        <f t="shared" si="108"/>
        <v>0.64049795506020757</v>
      </c>
      <c r="L109" s="509"/>
      <c r="M109" s="338"/>
      <c r="N109" s="338"/>
      <c r="O109" s="338"/>
      <c r="P109" s="338"/>
      <c r="Q109" s="338"/>
      <c r="R109" s="338"/>
      <c r="S109" s="338"/>
      <c r="T109" s="338"/>
      <c r="U109" s="338"/>
      <c r="V109" s="338"/>
      <c r="W109" s="338"/>
      <c r="X109" s="338"/>
      <c r="Y109" s="338"/>
      <c r="Z109" s="338"/>
      <c r="AA109" s="338"/>
      <c r="AB109" s="338"/>
      <c r="AC109" s="338"/>
      <c r="AD109" s="338"/>
      <c r="AE109" s="338"/>
      <c r="AF109" s="338"/>
    </row>
    <row r="110" spans="1:34">
      <c r="A110" s="1826"/>
      <c r="B110" s="337"/>
      <c r="C110" s="337"/>
      <c r="D110" s="626" t="s">
        <v>868</v>
      </c>
      <c r="E110" s="627"/>
      <c r="F110" s="628">
        <f>IFERROR(M59/(F$59+M$59+T$59),0)</f>
        <v>5.2561162079510703E-3</v>
      </c>
      <c r="G110" s="629">
        <f t="shared" ref="G110:K110" si="109">IFERROR(N59/(G$59+N$59+U$59),0)</f>
        <v>0.26146876188062351</v>
      </c>
      <c r="H110" s="629">
        <f t="shared" si="109"/>
        <v>0.3542115699629278</v>
      </c>
      <c r="I110" s="629">
        <f t="shared" si="109"/>
        <v>0.31199788782861237</v>
      </c>
      <c r="J110" s="629">
        <f t="shared" si="109"/>
        <v>0.29037313043024043</v>
      </c>
      <c r="K110" s="630">
        <f t="shared" si="109"/>
        <v>0.27343533590783919</v>
      </c>
      <c r="L110" s="509"/>
      <c r="M110" s="338"/>
      <c r="N110" s="338"/>
      <c r="O110" s="338"/>
      <c r="P110" s="338"/>
      <c r="Q110" s="338"/>
      <c r="R110" s="338"/>
      <c r="S110" s="338"/>
      <c r="T110" s="338"/>
      <c r="U110" s="338"/>
      <c r="V110" s="338"/>
      <c r="W110" s="338"/>
      <c r="X110" s="338"/>
      <c r="Y110" s="338"/>
      <c r="Z110" s="338"/>
      <c r="AA110" s="338"/>
      <c r="AB110" s="338"/>
      <c r="AC110" s="338"/>
      <c r="AD110" s="338"/>
      <c r="AE110" s="338"/>
      <c r="AF110" s="338"/>
    </row>
    <row r="111" spans="1:34" ht="13.5" thickBot="1">
      <c r="A111" s="1826"/>
      <c r="B111" s="337"/>
      <c r="C111" s="337"/>
      <c r="D111" s="631" t="s">
        <v>571</v>
      </c>
      <c r="E111" s="632"/>
      <c r="F111" s="633">
        <f>IFERROR(T59/(F$59+M$59+T$59),0)</f>
        <v>1.43348623853211E-2</v>
      </c>
      <c r="G111" s="634">
        <f t="shared" ref="G111:K111" si="110">IFERROR(U59/(G$59+N$59+U$59),0)</f>
        <v>1.5143834748447599E-2</v>
      </c>
      <c r="H111" s="634">
        <f t="shared" si="110"/>
        <v>5.4401241486335031E-2</v>
      </c>
      <c r="I111" s="634">
        <f t="shared" si="110"/>
        <v>8.6448157507637777E-2</v>
      </c>
      <c r="J111" s="634">
        <f t="shared" si="110"/>
        <v>8.5978444448313679E-2</v>
      </c>
      <c r="K111" s="635">
        <f t="shared" si="110"/>
        <v>8.6066709031953195E-2</v>
      </c>
      <c r="L111" s="509"/>
      <c r="M111" s="338"/>
      <c r="N111" s="338"/>
      <c r="O111" s="338"/>
      <c r="P111" s="338"/>
      <c r="Q111" s="338"/>
      <c r="R111" s="338"/>
      <c r="S111" s="338"/>
      <c r="T111" s="338"/>
      <c r="U111" s="338"/>
      <c r="V111" s="338"/>
      <c r="W111" s="338"/>
      <c r="X111" s="338"/>
      <c r="Y111" s="338"/>
      <c r="Z111" s="338"/>
      <c r="AA111" s="338"/>
      <c r="AB111" s="338"/>
      <c r="AC111" s="338"/>
      <c r="AD111" s="338"/>
      <c r="AE111" s="338"/>
      <c r="AF111" s="338"/>
    </row>
    <row r="112" spans="1:34" ht="13.5" thickBot="1">
      <c r="A112" s="1826"/>
      <c r="B112" s="337"/>
      <c r="C112" s="337"/>
      <c r="D112" s="337"/>
      <c r="E112" s="338"/>
      <c r="F112" s="636">
        <f>SUM(F109:F111)</f>
        <v>1</v>
      </c>
      <c r="G112" s="637">
        <f t="shared" ref="G112:K112" si="111">SUM(G109:G111)</f>
        <v>1</v>
      </c>
      <c r="H112" s="637">
        <f t="shared" si="111"/>
        <v>1</v>
      </c>
      <c r="I112" s="637">
        <f t="shared" si="111"/>
        <v>1</v>
      </c>
      <c r="J112" s="637">
        <f t="shared" si="111"/>
        <v>0.99999999999999989</v>
      </c>
      <c r="K112" s="638">
        <f t="shared" si="111"/>
        <v>1</v>
      </c>
      <c r="L112" s="338"/>
      <c r="M112" s="338"/>
      <c r="N112" s="338"/>
      <c r="O112" s="338"/>
      <c r="P112" s="338"/>
      <c r="Q112" s="338"/>
      <c r="R112" s="338"/>
      <c r="S112" s="338"/>
      <c r="T112" s="338"/>
      <c r="U112" s="350" t="str">
        <f>'11. Амортиз. план'!P286</f>
        <v>Главен счетоводител:</v>
      </c>
      <c r="V112" s="339"/>
      <c r="W112" s="289"/>
      <c r="X112" s="219" t="s">
        <v>262</v>
      </c>
      <c r="Y112" s="199"/>
      <c r="Z112" s="217"/>
      <c r="AC112" s="338"/>
      <c r="AD112" s="338"/>
      <c r="AE112" s="338"/>
      <c r="AF112" s="338"/>
    </row>
    <row r="113" spans="1:32">
      <c r="A113" s="1826"/>
      <c r="B113" s="337"/>
      <c r="C113" s="337"/>
      <c r="D113" s="337"/>
      <c r="E113" s="338"/>
      <c r="F113" s="338"/>
      <c r="G113" s="338"/>
      <c r="H113" s="338"/>
      <c r="I113" s="338"/>
      <c r="J113" s="338"/>
      <c r="K113" s="338"/>
      <c r="L113" s="338"/>
      <c r="M113" s="338"/>
      <c r="N113" s="338"/>
      <c r="O113" s="338"/>
      <c r="P113" s="338"/>
      <c r="Q113" s="338"/>
      <c r="R113" s="338"/>
      <c r="S113" s="338"/>
      <c r="T113" s="338"/>
      <c r="V113" s="288"/>
      <c r="W113" s="220"/>
      <c r="X113" s="290"/>
      <c r="Y113" s="291" t="s">
        <v>5</v>
      </c>
      <c r="Z113" s="217"/>
      <c r="AC113" s="338"/>
      <c r="AD113" s="338"/>
      <c r="AE113" s="338"/>
      <c r="AF113" s="338"/>
    </row>
    <row r="114" spans="1:32">
      <c r="A114" s="1826"/>
      <c r="B114" s="337"/>
      <c r="C114" s="337"/>
      <c r="D114" s="337"/>
      <c r="E114" s="338"/>
      <c r="F114" s="338"/>
      <c r="G114" s="338"/>
      <c r="H114" s="338"/>
      <c r="I114" s="338"/>
      <c r="J114" s="338"/>
      <c r="K114" s="338"/>
      <c r="L114" s="338"/>
      <c r="M114" s="338"/>
      <c r="N114" s="338"/>
      <c r="O114" s="338"/>
      <c r="P114" s="338"/>
      <c r="Q114" s="338"/>
      <c r="R114" s="338"/>
      <c r="S114" s="338"/>
      <c r="T114" s="338"/>
      <c r="V114" s="288"/>
      <c r="W114" s="220"/>
      <c r="X114" s="290"/>
      <c r="Y114" s="291"/>
      <c r="Z114" s="217"/>
      <c r="AC114" s="338"/>
      <c r="AD114" s="338"/>
      <c r="AE114" s="338"/>
      <c r="AF114" s="338"/>
    </row>
    <row r="115" spans="1:32">
      <c r="C115" s="349" t="str">
        <f>'11. Амортиз. план'!C286</f>
        <v>Дата: 27.06.2016г.</v>
      </c>
      <c r="V115" s="288"/>
      <c r="W115" s="220"/>
      <c r="X115" s="290"/>
      <c r="Y115" s="291"/>
      <c r="Z115" s="217"/>
    </row>
    <row r="116" spans="1:32">
      <c r="V116" s="288"/>
      <c r="W116" s="220"/>
      <c r="X116" s="290"/>
      <c r="Y116" s="291"/>
      <c r="Z116" s="217"/>
    </row>
    <row r="117" spans="1:32">
      <c r="B117" s="2934"/>
      <c r="C117" s="2934"/>
      <c r="D117" s="2934"/>
      <c r="V117" s="288"/>
      <c r="W117" s="220"/>
      <c r="X117" s="290"/>
      <c r="Y117" s="291"/>
      <c r="Z117" s="217"/>
    </row>
    <row r="118" spans="1:32">
      <c r="A118" s="2933" t="s">
        <v>247</v>
      </c>
      <c r="V118" s="292" t="str">
        <f>'11. Амортиз. план'!O290</f>
        <v>Управител:</v>
      </c>
      <c r="X118" s="219" t="s">
        <v>262</v>
      </c>
      <c r="Y118" s="217"/>
      <c r="Z118" s="217"/>
    </row>
    <row r="119" spans="1:32">
      <c r="A119" s="660" t="s">
        <v>767</v>
      </c>
      <c r="V119" s="288"/>
      <c r="W119" s="293"/>
      <c r="X119" s="290"/>
      <c r="Y119" s="291" t="s">
        <v>6</v>
      </c>
      <c r="Z119" s="290"/>
    </row>
    <row r="120" spans="1:32">
      <c r="A120" s="259"/>
      <c r="E120" s="2933"/>
      <c r="F120" s="2933"/>
      <c r="G120" s="176"/>
      <c r="H120" s="176"/>
      <c r="I120" s="176"/>
      <c r="J120" s="176"/>
    </row>
    <row r="121" spans="1:32">
      <c r="E121" s="2934"/>
      <c r="F121" s="2934"/>
      <c r="G121" s="176"/>
      <c r="H121" s="176"/>
      <c r="I121" s="176"/>
      <c r="J121" s="176"/>
    </row>
    <row r="122" spans="1:32">
      <c r="M122" s="261"/>
      <c r="N122" s="261"/>
      <c r="O122" s="261"/>
      <c r="P122" s="261"/>
      <c r="Q122" s="261"/>
    </row>
    <row r="123" spans="1:32">
      <c r="U123" s="339"/>
      <c r="V123" s="289"/>
      <c r="W123" s="219"/>
      <c r="X123" s="199"/>
      <c r="Y123" s="217"/>
    </row>
    <row r="124" spans="1:32">
      <c r="U124" s="288"/>
      <c r="V124" s="220"/>
      <c r="W124" s="290"/>
      <c r="X124" s="291"/>
      <c r="Y124" s="217"/>
    </row>
    <row r="125" spans="1:32">
      <c r="U125" s="288"/>
      <c r="V125" s="220"/>
      <c r="W125" s="290"/>
      <c r="X125" s="291"/>
      <c r="Y125" s="217"/>
    </row>
    <row r="126" spans="1:32">
      <c r="T126" s="350"/>
      <c r="U126" s="288"/>
      <c r="V126" s="220"/>
      <c r="W126" s="290"/>
      <c r="X126" s="291"/>
      <c r="Y126" s="217"/>
    </row>
    <row r="127" spans="1:32">
      <c r="U127" s="288"/>
      <c r="V127" s="220"/>
      <c r="W127" s="290"/>
      <c r="X127" s="291"/>
      <c r="Y127" s="217"/>
    </row>
    <row r="128" spans="1:32">
      <c r="U128" s="288"/>
      <c r="V128" s="220"/>
      <c r="W128" s="290"/>
      <c r="X128" s="291"/>
      <c r="Y128" s="217"/>
    </row>
    <row r="129" spans="21:25">
      <c r="U129" s="292"/>
      <c r="W129" s="219"/>
      <c r="X129" s="217"/>
      <c r="Y129" s="217"/>
    </row>
    <row r="130" spans="21:25">
      <c r="U130" s="288"/>
      <c r="V130" s="293"/>
      <c r="W130" s="290"/>
      <c r="X130" s="291"/>
      <c r="Y130" s="290"/>
    </row>
  </sheetData>
  <sheetProtection password="C6DB" sheet="1" objects="1" scenarios="1"/>
  <mergeCells count="12">
    <mergeCell ref="A2:R2"/>
    <mergeCell ref="A3:R3"/>
    <mergeCell ref="A4:R4"/>
    <mergeCell ref="AH8:AH9"/>
    <mergeCell ref="A8:A9"/>
    <mergeCell ref="D8:D9"/>
    <mergeCell ref="E8:K8"/>
    <mergeCell ref="L8:R8"/>
    <mergeCell ref="S8:Y8"/>
    <mergeCell ref="Z8:AF8"/>
    <mergeCell ref="B8:B9"/>
    <mergeCell ref="C8:C9"/>
  </mergeCells>
  <printOptions horizontalCentered="1"/>
  <pageMargins left="0.31496062992125984" right="0.31496062992125984" top="0.94488188976377963" bottom="0.35433070866141736" header="0.31496062992125984" footer="0.31496062992125984"/>
  <pageSetup paperSize="9" scale="70" orientation="landscape" verticalDpi="2" r:id="rId1"/>
  <headerFooter>
    <oddFooter>&amp;A&amp;RPage &amp;P</oddFooter>
  </headerFooter>
  <rowBreaks count="3" manualBreakCount="3">
    <brk id="39" max="33" man="1"/>
    <brk id="76" max="33" man="1"/>
    <brk id="121" max="16383" man="1"/>
  </rowBreaks>
  <colBreaks count="1" manualBreakCount="1">
    <brk id="18" max="1048575" man="1"/>
  </colBreaks>
  <ignoredErrors>
    <ignoredError sqref="F14:AF14 F17:AF17 F21:AF21 F24:AF24 F44:AF44 F63:AF63 F93:AF93 F66:AF66 F70:AF70 F73:AF73 F33:AF33 F82:AF82 F98:AF98 F49:AF49" formula="1"/>
  </ignoredError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BCF6C6"/>
  </sheetPr>
  <dimension ref="A1:CB193"/>
  <sheetViews>
    <sheetView view="pageBreakPreview" zoomScale="85" zoomScaleNormal="70" zoomScaleSheetLayoutView="85" workbookViewId="0">
      <pane xSplit="4" ySplit="9" topLeftCell="E64" activePane="bottomRight" state="frozen"/>
      <selection pane="topRight" activeCell="E1" sqref="E1"/>
      <selection pane="bottomLeft" activeCell="A10" sqref="A10"/>
      <selection pane="bottomRight" activeCell="X150" sqref="X150"/>
    </sheetView>
  </sheetViews>
  <sheetFormatPr defaultRowHeight="12.75"/>
  <cols>
    <col min="1" max="1" width="4.42578125" style="651" customWidth="1"/>
    <col min="2" max="2" width="9.42578125" style="259" customWidth="1"/>
    <col min="3" max="3" width="7.5703125" style="259" customWidth="1"/>
    <col min="4" max="4" width="45.7109375" style="259" customWidth="1"/>
    <col min="5" max="5" width="12.7109375" style="259" customWidth="1"/>
    <col min="6" max="7" width="11.85546875" style="259" customWidth="1"/>
    <col min="8" max="8" width="12" style="259" customWidth="1"/>
    <col min="9" max="11" width="14" style="259" customWidth="1"/>
    <col min="12" max="12" width="12" style="259" customWidth="1"/>
    <col min="13" max="13" width="11.7109375" style="339" customWidth="1"/>
    <col min="14" max="14" width="11.7109375" style="539" customWidth="1"/>
    <col min="15" max="15" width="10.7109375" style="339" customWidth="1"/>
    <col min="16" max="16" width="10.28515625" style="194" customWidth="1"/>
    <col min="17" max="32" width="9.140625" style="194"/>
    <col min="33" max="33" width="10.140625" style="194" customWidth="1"/>
    <col min="34" max="16384" width="9.140625" style="194"/>
  </cols>
  <sheetData>
    <row r="1" spans="1:80" ht="13.5">
      <c r="H1" s="339"/>
      <c r="I1" s="347"/>
      <c r="K1" s="294"/>
      <c r="P1" s="339"/>
      <c r="Q1" s="348" t="s">
        <v>249</v>
      </c>
      <c r="R1" s="339"/>
      <c r="S1" s="339"/>
      <c r="T1" s="339"/>
      <c r="U1" s="339"/>
      <c r="V1" s="339"/>
      <c r="W1" s="339"/>
      <c r="X1" s="339"/>
      <c r="AA1" s="339"/>
      <c r="AB1" s="339"/>
      <c r="AC1" s="339"/>
      <c r="AD1" s="339"/>
      <c r="AE1" s="339"/>
      <c r="AF1" s="348" t="s">
        <v>249</v>
      </c>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row>
    <row r="2" spans="1:80" ht="40.5" customHeight="1">
      <c r="A2" s="3499" t="s">
        <v>1416</v>
      </c>
      <c r="B2" s="3499"/>
      <c r="C2" s="3499"/>
      <c r="D2" s="3499"/>
      <c r="E2" s="3499"/>
      <c r="F2" s="3499"/>
      <c r="G2" s="3499"/>
      <c r="H2" s="3499"/>
      <c r="I2" s="3499"/>
      <c r="J2" s="3499"/>
      <c r="K2" s="3499"/>
      <c r="L2" s="3499"/>
      <c r="M2" s="3499"/>
      <c r="N2" s="3499"/>
      <c r="O2" s="3499"/>
      <c r="P2" s="3499"/>
      <c r="Q2" s="3499"/>
      <c r="R2" s="3499"/>
      <c r="S2" s="339"/>
      <c r="T2" s="339"/>
      <c r="U2" s="339"/>
      <c r="V2" s="339"/>
      <c r="W2" s="339"/>
      <c r="X2" s="339"/>
      <c r="Y2" s="339"/>
      <c r="Z2" s="339"/>
      <c r="AA2" s="339"/>
      <c r="AB2" s="339"/>
      <c r="AC2" s="339"/>
      <c r="AD2" s="339"/>
      <c r="AE2" s="339"/>
      <c r="AF2" s="339"/>
      <c r="AG2" s="339"/>
      <c r="AH2" s="339"/>
      <c r="AI2" s="339"/>
      <c r="AJ2" s="339"/>
      <c r="AK2" s="339"/>
      <c r="AL2" s="339"/>
      <c r="AM2" s="339"/>
      <c r="AN2" s="339"/>
      <c r="AO2" s="339"/>
      <c r="AP2" s="339"/>
      <c r="AQ2" s="339"/>
      <c r="AR2" s="339"/>
      <c r="AS2" s="339"/>
      <c r="AT2" s="339"/>
      <c r="AU2" s="339"/>
      <c r="AV2" s="339"/>
      <c r="AW2" s="339"/>
      <c r="AX2" s="339"/>
      <c r="AY2" s="339"/>
      <c r="AZ2" s="339"/>
      <c r="BA2" s="339"/>
      <c r="BB2" s="339"/>
      <c r="BC2" s="339"/>
      <c r="BD2" s="339"/>
      <c r="BE2" s="339"/>
      <c r="BF2" s="339"/>
      <c r="BG2" s="339"/>
      <c r="BH2" s="339"/>
      <c r="BI2" s="339"/>
      <c r="BJ2" s="339"/>
      <c r="BK2" s="339"/>
      <c r="BL2" s="339"/>
      <c r="BM2" s="339"/>
      <c r="BN2" s="339"/>
      <c r="BO2" s="339"/>
      <c r="BP2" s="339"/>
      <c r="BQ2" s="339"/>
      <c r="BR2" s="339"/>
      <c r="BS2" s="339"/>
      <c r="BT2" s="339"/>
      <c r="BU2" s="339"/>
      <c r="BV2" s="339"/>
      <c r="BW2" s="339"/>
      <c r="BX2" s="339"/>
      <c r="BY2" s="339"/>
      <c r="BZ2" s="339"/>
      <c r="CA2" s="339"/>
      <c r="CB2" s="339"/>
    </row>
    <row r="3" spans="1:80" ht="18.75">
      <c r="A3" s="3499" t="str">
        <f>'Приложение '!G12</f>
        <v>2015 г.</v>
      </c>
      <c r="B3" s="3499"/>
      <c r="C3" s="3499"/>
      <c r="D3" s="3499"/>
      <c r="E3" s="3499"/>
      <c r="F3" s="3499"/>
      <c r="G3" s="3499"/>
      <c r="H3" s="3499"/>
      <c r="I3" s="3499"/>
      <c r="J3" s="3499"/>
      <c r="K3" s="3499"/>
      <c r="L3" s="3499"/>
      <c r="M3" s="3499"/>
      <c r="N3" s="3499"/>
      <c r="O3" s="3499"/>
      <c r="P3" s="3499"/>
      <c r="Q3" s="3499"/>
      <c r="R3" s="349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row>
    <row r="4" spans="1:80" ht="15.75">
      <c r="A4" s="3506" t="str">
        <f>'1. Анкетна карта'!A3:J3</f>
        <v>на "Водоснабдяване и канализация" ООД , гр. Враца</v>
      </c>
      <c r="B4" s="3506"/>
      <c r="C4" s="3506"/>
      <c r="D4" s="3506"/>
      <c r="E4" s="3506"/>
      <c r="F4" s="3506"/>
      <c r="G4" s="3506"/>
      <c r="H4" s="3506"/>
      <c r="I4" s="3506"/>
      <c r="J4" s="3506"/>
      <c r="K4" s="3506"/>
      <c r="L4" s="3506"/>
      <c r="M4" s="3506"/>
      <c r="N4" s="3506"/>
      <c r="O4" s="3506"/>
      <c r="P4" s="3506"/>
      <c r="Q4" s="3506"/>
      <c r="R4" s="3506"/>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39"/>
      <c r="AW4" s="339"/>
      <c r="AX4" s="339"/>
      <c r="AY4" s="339"/>
      <c r="AZ4" s="339"/>
      <c r="BA4" s="339"/>
      <c r="BB4" s="339"/>
      <c r="BC4" s="339"/>
      <c r="BD4" s="339"/>
      <c r="BE4" s="339"/>
      <c r="BF4" s="339"/>
      <c r="BG4" s="339"/>
      <c r="BH4" s="339"/>
      <c r="BI4" s="339"/>
      <c r="BJ4" s="339"/>
      <c r="BK4" s="339"/>
      <c r="BL4" s="339"/>
      <c r="BM4" s="339"/>
      <c r="BN4" s="339"/>
      <c r="BO4" s="339"/>
      <c r="BP4" s="339"/>
      <c r="BQ4" s="339"/>
      <c r="BR4" s="339"/>
      <c r="BS4" s="339"/>
      <c r="BT4" s="339"/>
      <c r="BU4" s="339"/>
      <c r="BV4" s="339"/>
      <c r="BW4" s="339"/>
      <c r="BX4" s="339"/>
      <c r="BY4" s="339"/>
      <c r="BZ4" s="339"/>
      <c r="CA4" s="339"/>
      <c r="CB4" s="339"/>
    </row>
    <row r="5" spans="1:80" ht="15.75">
      <c r="A5" s="3506" t="str">
        <f>'1. Анкетна карта'!A4:J4</f>
        <v>ЕИК по БУЛСТАТ: 816090199</v>
      </c>
      <c r="B5" s="3506"/>
      <c r="C5" s="3506"/>
      <c r="D5" s="3506"/>
      <c r="E5" s="3506"/>
      <c r="F5" s="3506"/>
      <c r="G5" s="3506"/>
      <c r="H5" s="3506"/>
      <c r="I5" s="3506"/>
      <c r="J5" s="3506"/>
      <c r="K5" s="3506"/>
      <c r="L5" s="3506"/>
      <c r="M5" s="3506"/>
      <c r="N5" s="3506"/>
      <c r="O5" s="3506"/>
      <c r="P5" s="3506"/>
      <c r="Q5" s="3506"/>
      <c r="R5" s="3506"/>
      <c r="S5" s="339"/>
      <c r="T5" s="339"/>
      <c r="U5" s="339"/>
      <c r="V5" s="339"/>
      <c r="W5" s="339"/>
      <c r="X5" s="339"/>
      <c r="Y5" s="339"/>
      <c r="Z5" s="339"/>
      <c r="AA5" s="339"/>
      <c r="AB5" s="339"/>
      <c r="AC5" s="339"/>
      <c r="AD5" s="339"/>
      <c r="AE5" s="339"/>
      <c r="AF5" s="339"/>
      <c r="AG5" s="339"/>
      <c r="AH5" s="339"/>
      <c r="AI5" s="339"/>
      <c r="AJ5" s="339"/>
      <c r="AK5" s="339"/>
      <c r="AL5" s="339"/>
      <c r="AM5" s="339"/>
      <c r="AN5" s="339"/>
      <c r="AO5" s="339"/>
      <c r="AP5" s="339"/>
      <c r="AQ5" s="339"/>
      <c r="AR5" s="339"/>
      <c r="AS5" s="339"/>
      <c r="AT5" s="339"/>
      <c r="AU5" s="339"/>
      <c r="AV5" s="339"/>
      <c r="AW5" s="339"/>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339"/>
      <c r="BX5" s="339"/>
      <c r="BY5" s="339"/>
      <c r="BZ5" s="339"/>
      <c r="CA5" s="339"/>
      <c r="CB5" s="339"/>
    </row>
    <row r="6" spans="1:80" ht="15.75">
      <c r="A6" s="1612"/>
      <c r="B6" s="531"/>
      <c r="C6" s="531"/>
      <c r="D6" s="531"/>
      <c r="E6" s="531"/>
      <c r="F6" s="531"/>
      <c r="G6" s="531"/>
      <c r="H6" s="531"/>
      <c r="I6" s="531"/>
      <c r="J6" s="531"/>
      <c r="K6" s="531"/>
      <c r="L6" s="531"/>
      <c r="P6" s="339"/>
      <c r="Q6" s="339"/>
      <c r="R6" s="339"/>
      <c r="S6" s="339"/>
      <c r="T6" s="339"/>
      <c r="U6" s="339"/>
      <c r="V6" s="339"/>
      <c r="W6" s="339"/>
      <c r="X6" s="339"/>
      <c r="Y6" s="339"/>
      <c r="Z6" s="339"/>
      <c r="AA6" s="339"/>
      <c r="AB6" s="339"/>
      <c r="AC6" s="339"/>
      <c r="AD6" s="339"/>
      <c r="AE6" s="339"/>
      <c r="AF6" s="339"/>
      <c r="AG6" s="339"/>
      <c r="AH6" s="339"/>
      <c r="AI6" s="339"/>
      <c r="AJ6" s="339"/>
      <c r="AK6" s="339"/>
      <c r="AL6" s="339"/>
      <c r="AM6" s="339"/>
      <c r="AN6" s="339"/>
      <c r="AO6" s="339"/>
      <c r="AP6" s="339"/>
      <c r="AQ6" s="339"/>
      <c r="AR6" s="339"/>
      <c r="AS6" s="339"/>
      <c r="AT6" s="339"/>
      <c r="AU6" s="339"/>
      <c r="AV6" s="339"/>
      <c r="AW6" s="339"/>
      <c r="AX6" s="339"/>
      <c r="AY6" s="339"/>
      <c r="AZ6" s="339"/>
      <c r="BA6" s="339"/>
      <c r="BB6" s="339"/>
      <c r="BC6" s="339"/>
      <c r="BD6" s="339"/>
      <c r="BE6" s="339"/>
      <c r="BF6" s="339"/>
      <c r="BG6" s="339"/>
      <c r="BH6" s="339"/>
      <c r="BI6" s="339"/>
      <c r="BJ6" s="339"/>
      <c r="BK6" s="339"/>
      <c r="BL6" s="339"/>
      <c r="BM6" s="339"/>
      <c r="BN6" s="339"/>
      <c r="BO6" s="339"/>
      <c r="BP6" s="339"/>
      <c r="BQ6" s="339"/>
      <c r="BR6" s="339"/>
      <c r="BS6" s="339"/>
      <c r="BT6" s="339"/>
      <c r="BU6" s="339"/>
      <c r="BV6" s="339"/>
      <c r="BW6" s="339"/>
      <c r="BX6" s="339"/>
      <c r="BY6" s="339"/>
      <c r="BZ6" s="339"/>
      <c r="CA6" s="339"/>
      <c r="CB6" s="339"/>
    </row>
    <row r="7" spans="1:80" ht="16.5" thickBot="1">
      <c r="A7" s="1612"/>
      <c r="B7" s="531"/>
      <c r="C7" s="531"/>
      <c r="D7" s="531"/>
      <c r="E7" s="531"/>
      <c r="F7" s="531"/>
      <c r="G7" s="531"/>
      <c r="H7" s="531"/>
      <c r="I7" s="531"/>
      <c r="J7" s="531"/>
      <c r="K7" s="531"/>
      <c r="L7" s="531"/>
      <c r="P7" s="339"/>
      <c r="Q7" s="339"/>
      <c r="R7" s="339"/>
      <c r="S7" s="339"/>
      <c r="T7" s="339"/>
      <c r="U7" s="339"/>
      <c r="V7" s="339"/>
      <c r="W7" s="339"/>
      <c r="X7" s="339"/>
      <c r="Y7" s="339"/>
      <c r="Z7" s="339"/>
      <c r="AA7" s="339"/>
      <c r="AB7" s="339"/>
      <c r="AC7" s="339"/>
      <c r="AD7" s="339"/>
      <c r="AE7" s="339"/>
      <c r="AF7" s="339"/>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row>
    <row r="8" spans="1:80" s="339" customFormat="1" ht="18" customHeight="1" thickBot="1">
      <c r="A8" s="3516" t="s">
        <v>1</v>
      </c>
      <c r="B8" s="3504" t="s">
        <v>1489</v>
      </c>
      <c r="C8" s="3504" t="s">
        <v>1488</v>
      </c>
      <c r="D8" s="3516" t="s">
        <v>95</v>
      </c>
      <c r="E8" s="3516" t="s">
        <v>273</v>
      </c>
      <c r="F8" s="3520"/>
      <c r="G8" s="3520"/>
      <c r="H8" s="3520"/>
      <c r="I8" s="3520"/>
      <c r="J8" s="3520"/>
      <c r="K8" s="3520"/>
      <c r="L8" s="3516" t="s">
        <v>230</v>
      </c>
      <c r="M8" s="3520"/>
      <c r="N8" s="3520"/>
      <c r="O8" s="3520"/>
      <c r="P8" s="3520"/>
      <c r="Q8" s="3520"/>
      <c r="R8" s="3521"/>
      <c r="S8" s="3516" t="s">
        <v>241</v>
      </c>
      <c r="T8" s="3520"/>
      <c r="U8" s="3520"/>
      <c r="V8" s="3520"/>
      <c r="W8" s="3520"/>
      <c r="X8" s="3520"/>
      <c r="Y8" s="3521"/>
      <c r="Z8" s="3513" t="s">
        <v>894</v>
      </c>
      <c r="AA8" s="3514"/>
      <c r="AB8" s="3514"/>
      <c r="AC8" s="3514"/>
      <c r="AD8" s="3514"/>
      <c r="AE8" s="3514"/>
      <c r="AF8" s="3515"/>
    </row>
    <row r="9" spans="1:80" s="339" customFormat="1" ht="22.5" customHeight="1" thickBot="1">
      <c r="A9" s="3517"/>
      <c r="B9" s="3505"/>
      <c r="C9" s="3505"/>
      <c r="D9" s="3517"/>
      <c r="E9" s="1174" t="str">
        <f>'Приложение '!G12</f>
        <v>2015 г.</v>
      </c>
      <c r="F9" s="1175" t="str">
        <f>'Приложение '!G13</f>
        <v>2016 г.</v>
      </c>
      <c r="G9" s="1176" t="str">
        <f>'Приложение '!G14</f>
        <v>2017 г.</v>
      </c>
      <c r="H9" s="1176" t="str">
        <f>'Приложение '!G15</f>
        <v>2018 г.</v>
      </c>
      <c r="I9" s="1176" t="str">
        <f>'Приложение '!G16</f>
        <v>2019 г.</v>
      </c>
      <c r="J9" s="1176" t="str">
        <f>'Приложение '!G17</f>
        <v>2020 г.</v>
      </c>
      <c r="K9" s="2032" t="str">
        <f>'Приложение '!G18</f>
        <v>2021 г.</v>
      </c>
      <c r="L9" s="1178" t="str">
        <f t="shared" ref="L9:AF9" si="0">E9</f>
        <v>2015 г.</v>
      </c>
      <c r="M9" s="1179" t="str">
        <f t="shared" si="0"/>
        <v>2016 г.</v>
      </c>
      <c r="N9" s="1176" t="str">
        <f t="shared" si="0"/>
        <v>2017 г.</v>
      </c>
      <c r="O9" s="1176" t="str">
        <f t="shared" si="0"/>
        <v>2018 г.</v>
      </c>
      <c r="P9" s="1176" t="str">
        <f t="shared" si="0"/>
        <v>2019 г.</v>
      </c>
      <c r="Q9" s="1176" t="str">
        <f t="shared" si="0"/>
        <v>2020 г.</v>
      </c>
      <c r="R9" s="2032" t="str">
        <f t="shared" si="0"/>
        <v>2021 г.</v>
      </c>
      <c r="S9" s="1178" t="str">
        <f t="shared" si="0"/>
        <v>2015 г.</v>
      </c>
      <c r="T9" s="1179" t="str">
        <f t="shared" si="0"/>
        <v>2016 г.</v>
      </c>
      <c r="U9" s="1176" t="str">
        <f t="shared" si="0"/>
        <v>2017 г.</v>
      </c>
      <c r="V9" s="1176" t="str">
        <f t="shared" si="0"/>
        <v>2018 г.</v>
      </c>
      <c r="W9" s="1176" t="str">
        <f t="shared" si="0"/>
        <v>2019 г.</v>
      </c>
      <c r="X9" s="1176" t="str">
        <f t="shared" si="0"/>
        <v>2020 г.</v>
      </c>
      <c r="Y9" s="1177" t="str">
        <f t="shared" si="0"/>
        <v>2021 г.</v>
      </c>
      <c r="Z9" s="1178" t="str">
        <f t="shared" si="0"/>
        <v>2015 г.</v>
      </c>
      <c r="AA9" s="1179" t="str">
        <f t="shared" si="0"/>
        <v>2016 г.</v>
      </c>
      <c r="AB9" s="1176" t="str">
        <f t="shared" si="0"/>
        <v>2017 г.</v>
      </c>
      <c r="AC9" s="1176" t="str">
        <f t="shared" si="0"/>
        <v>2018 г.</v>
      </c>
      <c r="AD9" s="1176" t="str">
        <f t="shared" si="0"/>
        <v>2019 г.</v>
      </c>
      <c r="AE9" s="1176" t="str">
        <f t="shared" si="0"/>
        <v>2020 г.</v>
      </c>
      <c r="AF9" s="1177" t="str">
        <f t="shared" si="0"/>
        <v>2021 г.</v>
      </c>
    </row>
    <row r="10" spans="1:80" s="262" customFormat="1" ht="39" thickBot="1">
      <c r="A10" s="245" t="s">
        <v>1529</v>
      </c>
      <c r="B10" s="245"/>
      <c r="C10" s="245"/>
      <c r="D10" s="2195" t="s">
        <v>1530</v>
      </c>
      <c r="E10" s="2030"/>
      <c r="F10" s="2030"/>
      <c r="G10" s="2030"/>
      <c r="H10" s="2030"/>
      <c r="I10" s="2030"/>
      <c r="J10" s="2030"/>
      <c r="K10" s="2030"/>
      <c r="L10" s="2195"/>
      <c r="M10" s="2030"/>
      <c r="N10" s="2030"/>
      <c r="O10" s="2030"/>
      <c r="P10" s="2030"/>
      <c r="Q10" s="2030"/>
      <c r="R10" s="2030"/>
      <c r="S10" s="2195"/>
      <c r="T10" s="2030"/>
      <c r="U10" s="2030"/>
      <c r="V10" s="2030"/>
      <c r="W10" s="2030"/>
      <c r="X10" s="2030"/>
      <c r="Y10" s="2031"/>
      <c r="Z10" s="2195"/>
      <c r="AA10" s="2030"/>
      <c r="AB10" s="2030"/>
      <c r="AC10" s="2030"/>
      <c r="AD10" s="2030"/>
      <c r="AE10" s="2030"/>
      <c r="AF10" s="2031"/>
      <c r="AG10" s="307"/>
    </row>
    <row r="11" spans="1:80" s="294" customFormat="1" ht="14.25" customHeight="1" thickBot="1">
      <c r="A11" s="3024" t="s">
        <v>268</v>
      </c>
      <c r="B11" s="3025"/>
      <c r="C11" s="3025"/>
      <c r="D11" s="3025" t="s">
        <v>483</v>
      </c>
      <c r="E11" s="654">
        <f t="shared" ref="E11:AF11" si="1">E12+E15+E18+E30+E45+E50+SUM(E54:E59)</f>
        <v>1854</v>
      </c>
      <c r="F11" s="252">
        <f t="shared" si="1"/>
        <v>0</v>
      </c>
      <c r="G11" s="250">
        <f t="shared" si="1"/>
        <v>20</v>
      </c>
      <c r="H11" s="250">
        <f t="shared" si="1"/>
        <v>115</v>
      </c>
      <c r="I11" s="250">
        <f t="shared" si="1"/>
        <v>270</v>
      </c>
      <c r="J11" s="250">
        <f t="shared" si="1"/>
        <v>240</v>
      </c>
      <c r="K11" s="2037">
        <f t="shared" si="1"/>
        <v>270</v>
      </c>
      <c r="L11" s="341">
        <f t="shared" si="1"/>
        <v>11</v>
      </c>
      <c r="M11" s="252">
        <f t="shared" si="1"/>
        <v>5</v>
      </c>
      <c r="N11" s="250">
        <f t="shared" si="1"/>
        <v>5</v>
      </c>
      <c r="O11" s="250">
        <f t="shared" si="1"/>
        <v>0</v>
      </c>
      <c r="P11" s="250">
        <f t="shared" si="1"/>
        <v>20</v>
      </c>
      <c r="Q11" s="250">
        <f t="shared" si="1"/>
        <v>30</v>
      </c>
      <c r="R11" s="2037">
        <f t="shared" si="1"/>
        <v>0</v>
      </c>
      <c r="S11" s="341">
        <f t="shared" si="1"/>
        <v>90</v>
      </c>
      <c r="T11" s="252">
        <f t="shared" si="1"/>
        <v>5</v>
      </c>
      <c r="U11" s="250">
        <f t="shared" si="1"/>
        <v>25</v>
      </c>
      <c r="V11" s="250">
        <f t="shared" si="1"/>
        <v>20</v>
      </c>
      <c r="W11" s="250">
        <f t="shared" si="1"/>
        <v>20</v>
      </c>
      <c r="X11" s="250">
        <f t="shared" si="1"/>
        <v>70</v>
      </c>
      <c r="Y11" s="251">
        <f t="shared" si="1"/>
        <v>50</v>
      </c>
      <c r="Z11" s="341">
        <f t="shared" si="1"/>
        <v>1955</v>
      </c>
      <c r="AA11" s="252">
        <f t="shared" si="1"/>
        <v>0</v>
      </c>
      <c r="AB11" s="250">
        <f t="shared" si="1"/>
        <v>0</v>
      </c>
      <c r="AC11" s="250">
        <f t="shared" si="1"/>
        <v>0</v>
      </c>
      <c r="AD11" s="250">
        <f t="shared" si="1"/>
        <v>0</v>
      </c>
      <c r="AE11" s="250">
        <f t="shared" si="1"/>
        <v>0</v>
      </c>
      <c r="AF11" s="251">
        <f t="shared" si="1"/>
        <v>0</v>
      </c>
      <c r="AG11" s="3026"/>
      <c r="AH11" s="307"/>
    </row>
    <row r="12" spans="1:80" s="262" customFormat="1">
      <c r="A12" s="300">
        <v>1</v>
      </c>
      <c r="B12" s="300">
        <v>201</v>
      </c>
      <c r="C12" s="301">
        <v>0</v>
      </c>
      <c r="D12" s="2407" t="s">
        <v>280</v>
      </c>
      <c r="E12" s="2405">
        <f>SUM(E13:E14)</f>
        <v>0</v>
      </c>
      <c r="F12" s="2406">
        <f>SUM(F13:F14)</f>
        <v>0</v>
      </c>
      <c r="G12" s="2403">
        <f>SUM(G13:G14)</f>
        <v>0</v>
      </c>
      <c r="H12" s="2403">
        <f>SUM(H13:H14)</f>
        <v>0</v>
      </c>
      <c r="I12" s="2403">
        <f t="shared" ref="I12:K12" si="2">SUM(I13:I14)</f>
        <v>0</v>
      </c>
      <c r="J12" s="2403">
        <f t="shared" si="2"/>
        <v>0</v>
      </c>
      <c r="K12" s="2404">
        <f t="shared" si="2"/>
        <v>0</v>
      </c>
      <c r="L12" s="2405">
        <f>SUM(L13:L14)</f>
        <v>0</v>
      </c>
      <c r="M12" s="2406">
        <f>SUM(M13:M14)</f>
        <v>0</v>
      </c>
      <c r="N12" s="2403">
        <f>SUM(N13:N14)</f>
        <v>0</v>
      </c>
      <c r="O12" s="2403">
        <f>SUM(O13:O14)</f>
        <v>0</v>
      </c>
      <c r="P12" s="2403">
        <f t="shared" ref="P12:R12" si="3">SUM(P13:P14)</f>
        <v>0</v>
      </c>
      <c r="Q12" s="2403">
        <f t="shared" si="3"/>
        <v>0</v>
      </c>
      <c r="R12" s="2404">
        <f t="shared" si="3"/>
        <v>0</v>
      </c>
      <c r="S12" s="2405">
        <f>SUM(S13:S14)</f>
        <v>0</v>
      </c>
      <c r="T12" s="2406">
        <f>SUM(T13:T14)</f>
        <v>0</v>
      </c>
      <c r="U12" s="2403">
        <f>SUM(U13:U14)</f>
        <v>0</v>
      </c>
      <c r="V12" s="2403">
        <f>SUM(V13:V14)</f>
        <v>0</v>
      </c>
      <c r="W12" s="2403">
        <f t="shared" ref="W12:Y12" si="4">SUM(W13:W14)</f>
        <v>0</v>
      </c>
      <c r="X12" s="2403">
        <f t="shared" si="4"/>
        <v>0</v>
      </c>
      <c r="Y12" s="3042">
        <f t="shared" si="4"/>
        <v>0</v>
      </c>
      <c r="Z12" s="2405">
        <f>SUM(Z13:Z14)</f>
        <v>0</v>
      </c>
      <c r="AA12" s="3081"/>
      <c r="AB12" s="3092"/>
      <c r="AC12" s="3092"/>
      <c r="AD12" s="3092"/>
      <c r="AE12" s="3092"/>
      <c r="AF12" s="3093"/>
      <c r="AG12" s="306"/>
    </row>
    <row r="13" spans="1:80" s="294" customFormat="1">
      <c r="A13" s="263"/>
      <c r="B13" s="1828">
        <v>20101</v>
      </c>
      <c r="C13" s="1829">
        <v>0</v>
      </c>
      <c r="D13" s="2402" t="s">
        <v>758</v>
      </c>
      <c r="E13" s="2246">
        <v>0</v>
      </c>
      <c r="F13" s="2246">
        <v>0</v>
      </c>
      <c r="G13" s="2246">
        <v>0</v>
      </c>
      <c r="H13" s="2246">
        <v>0</v>
      </c>
      <c r="I13" s="2246">
        <v>0</v>
      </c>
      <c r="J13" s="2246">
        <v>0</v>
      </c>
      <c r="K13" s="2246">
        <v>0</v>
      </c>
      <c r="L13" s="2246">
        <v>0</v>
      </c>
      <c r="M13" s="2246">
        <v>0</v>
      </c>
      <c r="N13" s="2246">
        <v>0</v>
      </c>
      <c r="O13" s="2246">
        <v>0</v>
      </c>
      <c r="P13" s="2246">
        <v>0</v>
      </c>
      <c r="Q13" s="2246">
        <v>0</v>
      </c>
      <c r="R13" s="2420">
        <v>0</v>
      </c>
      <c r="S13" s="2246">
        <v>0</v>
      </c>
      <c r="T13" s="2246">
        <v>0</v>
      </c>
      <c r="U13" s="2246">
        <v>0</v>
      </c>
      <c r="V13" s="2246">
        <v>0</v>
      </c>
      <c r="W13" s="2246">
        <v>0</v>
      </c>
      <c r="X13" s="2246">
        <v>0</v>
      </c>
      <c r="Y13" s="2246">
        <v>0</v>
      </c>
      <c r="Z13" s="2246">
        <f>E13+L13+S13</f>
        <v>0</v>
      </c>
      <c r="AA13" s="3080"/>
      <c r="AB13" s="3094"/>
      <c r="AC13" s="3094"/>
      <c r="AD13" s="3094"/>
      <c r="AE13" s="3094"/>
      <c r="AF13" s="3095"/>
      <c r="AG13" s="512"/>
    </row>
    <row r="14" spans="1:80" s="294" customFormat="1">
      <c r="A14" s="263"/>
      <c r="B14" s="1828">
        <v>20102</v>
      </c>
      <c r="C14" s="1829">
        <v>0</v>
      </c>
      <c r="D14" s="2408" t="s">
        <v>760</v>
      </c>
      <c r="E14" s="2246">
        <v>0</v>
      </c>
      <c r="F14" s="2246">
        <v>0</v>
      </c>
      <c r="G14" s="2246">
        <v>0</v>
      </c>
      <c r="H14" s="2246">
        <v>0</v>
      </c>
      <c r="I14" s="2246">
        <v>0</v>
      </c>
      <c r="J14" s="2246">
        <v>0</v>
      </c>
      <c r="K14" s="2246">
        <v>0</v>
      </c>
      <c r="L14" s="2246">
        <v>0</v>
      </c>
      <c r="M14" s="2246">
        <v>0</v>
      </c>
      <c r="N14" s="2246">
        <v>0</v>
      </c>
      <c r="O14" s="2246">
        <v>0</v>
      </c>
      <c r="P14" s="2246">
        <v>0</v>
      </c>
      <c r="Q14" s="2246">
        <v>0</v>
      </c>
      <c r="R14" s="2420">
        <v>0</v>
      </c>
      <c r="S14" s="2246">
        <v>0</v>
      </c>
      <c r="T14" s="2246">
        <v>0</v>
      </c>
      <c r="U14" s="2246">
        <v>0</v>
      </c>
      <c r="V14" s="2246">
        <v>0</v>
      </c>
      <c r="W14" s="2246">
        <v>0</v>
      </c>
      <c r="X14" s="2246">
        <v>0</v>
      </c>
      <c r="Y14" s="2246">
        <v>0</v>
      </c>
      <c r="Z14" s="2246">
        <f>E14+L14+S14</f>
        <v>0</v>
      </c>
      <c r="AA14" s="3080"/>
      <c r="AB14" s="3094"/>
      <c r="AC14" s="3094"/>
      <c r="AD14" s="3094"/>
      <c r="AE14" s="3094"/>
      <c r="AF14" s="3095"/>
      <c r="AG14" s="307"/>
    </row>
    <row r="15" spans="1:80" s="262" customFormat="1">
      <c r="A15" s="308">
        <v>2</v>
      </c>
      <c r="B15" s="1831">
        <v>202</v>
      </c>
      <c r="C15" s="1832">
        <v>0.03</v>
      </c>
      <c r="D15" s="2409" t="s">
        <v>576</v>
      </c>
      <c r="E15" s="342">
        <f>SUM(E16:E17)</f>
        <v>235</v>
      </c>
      <c r="F15" s="314">
        <f>SUM(F16:F17)</f>
        <v>0</v>
      </c>
      <c r="G15" s="312">
        <f t="shared" ref="G15:Z15" si="5">SUM(G16:G17)</f>
        <v>0</v>
      </c>
      <c r="H15" s="312">
        <f t="shared" si="5"/>
        <v>0</v>
      </c>
      <c r="I15" s="312">
        <f t="shared" si="5"/>
        <v>0</v>
      </c>
      <c r="J15" s="312">
        <f t="shared" si="5"/>
        <v>0</v>
      </c>
      <c r="K15" s="2034">
        <f t="shared" si="5"/>
        <v>0</v>
      </c>
      <c r="L15" s="342">
        <f t="shared" si="5"/>
        <v>3</v>
      </c>
      <c r="M15" s="314">
        <f t="shared" si="5"/>
        <v>0</v>
      </c>
      <c r="N15" s="312">
        <f t="shared" si="5"/>
        <v>0</v>
      </c>
      <c r="O15" s="312">
        <f t="shared" si="5"/>
        <v>0</v>
      </c>
      <c r="P15" s="312">
        <f t="shared" si="5"/>
        <v>0</v>
      </c>
      <c r="Q15" s="312">
        <f t="shared" si="5"/>
        <v>0</v>
      </c>
      <c r="R15" s="2034">
        <f t="shared" si="5"/>
        <v>0</v>
      </c>
      <c r="S15" s="342">
        <f t="shared" si="5"/>
        <v>10</v>
      </c>
      <c r="T15" s="314">
        <f t="shared" si="5"/>
        <v>0</v>
      </c>
      <c r="U15" s="312">
        <f t="shared" si="5"/>
        <v>0</v>
      </c>
      <c r="V15" s="312">
        <f t="shared" si="5"/>
        <v>0</v>
      </c>
      <c r="W15" s="312">
        <f t="shared" si="5"/>
        <v>0</v>
      </c>
      <c r="X15" s="312">
        <f t="shared" si="5"/>
        <v>0</v>
      </c>
      <c r="Y15" s="313">
        <f t="shared" si="5"/>
        <v>0</v>
      </c>
      <c r="Z15" s="342">
        <f t="shared" si="5"/>
        <v>248</v>
      </c>
      <c r="AA15" s="3080"/>
      <c r="AB15" s="3094"/>
      <c r="AC15" s="3094"/>
      <c r="AD15" s="3094"/>
      <c r="AE15" s="3094"/>
      <c r="AF15" s="3095"/>
    </row>
    <row r="16" spans="1:80" s="339" customFormat="1">
      <c r="A16" s="266"/>
      <c r="B16" s="1833">
        <v>20201</v>
      </c>
      <c r="C16" s="1834">
        <v>0.03</v>
      </c>
      <c r="D16" s="2410" t="s">
        <v>597</v>
      </c>
      <c r="E16" s="2246">
        <v>188</v>
      </c>
      <c r="F16" s="795">
        <v>0</v>
      </c>
      <c r="G16" s="795">
        <v>0</v>
      </c>
      <c r="H16" s="795">
        <v>0</v>
      </c>
      <c r="I16" s="795">
        <v>0</v>
      </c>
      <c r="J16" s="795">
        <v>0</v>
      </c>
      <c r="K16" s="795">
        <v>0</v>
      </c>
      <c r="L16" s="2246">
        <v>3</v>
      </c>
      <c r="M16" s="795">
        <v>0</v>
      </c>
      <c r="N16" s="795">
        <v>0</v>
      </c>
      <c r="O16" s="795">
        <v>0</v>
      </c>
      <c r="P16" s="795">
        <v>0</v>
      </c>
      <c r="Q16" s="795">
        <v>0</v>
      </c>
      <c r="R16" s="2420">
        <v>0</v>
      </c>
      <c r="S16" s="2246">
        <v>10</v>
      </c>
      <c r="T16" s="795">
        <v>0</v>
      </c>
      <c r="U16" s="795">
        <v>0</v>
      </c>
      <c r="V16" s="795">
        <v>0</v>
      </c>
      <c r="W16" s="795">
        <v>0</v>
      </c>
      <c r="X16" s="795">
        <v>0</v>
      </c>
      <c r="Y16" s="795">
        <v>0</v>
      </c>
      <c r="Z16" s="2246">
        <f t="shared" ref="Z16:Z17" si="6">E16+L16+S16</f>
        <v>201</v>
      </c>
      <c r="AA16" s="3080"/>
      <c r="AB16" s="3094"/>
      <c r="AC16" s="3094"/>
      <c r="AD16" s="3094"/>
      <c r="AE16" s="3094"/>
      <c r="AF16" s="3095"/>
      <c r="AG16" s="307"/>
    </row>
    <row r="17" spans="1:33" s="339" customFormat="1">
      <c r="A17" s="266"/>
      <c r="B17" s="1833">
        <v>20202</v>
      </c>
      <c r="C17" s="1834">
        <v>0.03</v>
      </c>
      <c r="D17" s="2410" t="s">
        <v>598</v>
      </c>
      <c r="E17" s="2246">
        <v>47</v>
      </c>
      <c r="F17" s="795">
        <v>0</v>
      </c>
      <c r="G17" s="795">
        <v>0</v>
      </c>
      <c r="H17" s="795">
        <v>0</v>
      </c>
      <c r="I17" s="795">
        <v>0</v>
      </c>
      <c r="J17" s="795">
        <v>0</v>
      </c>
      <c r="K17" s="795">
        <v>0</v>
      </c>
      <c r="L17" s="2246">
        <v>0</v>
      </c>
      <c r="M17" s="795">
        <v>0</v>
      </c>
      <c r="N17" s="795">
        <v>0</v>
      </c>
      <c r="O17" s="795">
        <v>0</v>
      </c>
      <c r="P17" s="795">
        <v>0</v>
      </c>
      <c r="Q17" s="795">
        <v>0</v>
      </c>
      <c r="R17" s="2420">
        <v>0</v>
      </c>
      <c r="S17" s="2246">
        <v>0</v>
      </c>
      <c r="T17" s="795">
        <v>0</v>
      </c>
      <c r="U17" s="795">
        <v>0</v>
      </c>
      <c r="V17" s="795">
        <v>0</v>
      </c>
      <c r="W17" s="795">
        <v>0</v>
      </c>
      <c r="X17" s="795">
        <v>0</v>
      </c>
      <c r="Y17" s="795">
        <v>0</v>
      </c>
      <c r="Z17" s="2246">
        <f t="shared" si="6"/>
        <v>47</v>
      </c>
      <c r="AA17" s="3080"/>
      <c r="AB17" s="3094"/>
      <c r="AC17" s="3094"/>
      <c r="AD17" s="3094"/>
      <c r="AE17" s="3094"/>
      <c r="AF17" s="3095"/>
      <c r="AG17" s="307"/>
    </row>
    <row r="18" spans="1:33" s="317" customFormat="1" ht="12.75" customHeight="1">
      <c r="A18" s="315">
        <v>3</v>
      </c>
      <c r="B18" s="1831">
        <v>203</v>
      </c>
      <c r="C18" s="1832"/>
      <c r="D18" s="2411" t="s">
        <v>577</v>
      </c>
      <c r="E18" s="342">
        <f t="shared" ref="E18:Z18" si="7">SUM(E19:E29)-E22-E25</f>
        <v>196</v>
      </c>
      <c r="F18" s="314">
        <f t="shared" si="7"/>
        <v>0</v>
      </c>
      <c r="G18" s="312">
        <f>SUM(G19:G29)-G22-G25</f>
        <v>0</v>
      </c>
      <c r="H18" s="312">
        <f t="shared" si="7"/>
        <v>40</v>
      </c>
      <c r="I18" s="312">
        <f t="shared" si="7"/>
        <v>140</v>
      </c>
      <c r="J18" s="312">
        <f t="shared" si="7"/>
        <v>0</v>
      </c>
      <c r="K18" s="2034">
        <f t="shared" si="7"/>
        <v>0</v>
      </c>
      <c r="L18" s="342">
        <f t="shared" si="7"/>
        <v>0</v>
      </c>
      <c r="M18" s="314">
        <f t="shared" si="7"/>
        <v>0</v>
      </c>
      <c r="N18" s="312">
        <f t="shared" si="7"/>
        <v>0</v>
      </c>
      <c r="O18" s="312">
        <f t="shared" si="7"/>
        <v>0</v>
      </c>
      <c r="P18" s="312">
        <f t="shared" si="7"/>
        <v>20</v>
      </c>
      <c r="Q18" s="312">
        <f t="shared" si="7"/>
        <v>30</v>
      </c>
      <c r="R18" s="2034">
        <f t="shared" si="7"/>
        <v>0</v>
      </c>
      <c r="S18" s="342">
        <f t="shared" si="7"/>
        <v>50</v>
      </c>
      <c r="T18" s="314">
        <f t="shared" si="7"/>
        <v>0</v>
      </c>
      <c r="U18" s="312">
        <f t="shared" si="7"/>
        <v>0</v>
      </c>
      <c r="V18" s="312">
        <f t="shared" si="7"/>
        <v>10</v>
      </c>
      <c r="W18" s="312">
        <f t="shared" si="7"/>
        <v>20</v>
      </c>
      <c r="X18" s="312">
        <f t="shared" si="7"/>
        <v>60</v>
      </c>
      <c r="Y18" s="313">
        <f t="shared" si="7"/>
        <v>0</v>
      </c>
      <c r="Z18" s="342">
        <f t="shared" si="7"/>
        <v>246</v>
      </c>
      <c r="AA18" s="3080"/>
      <c r="AB18" s="3094"/>
      <c r="AC18" s="3094"/>
      <c r="AD18" s="3094"/>
      <c r="AE18" s="3094"/>
      <c r="AF18" s="3095"/>
    </row>
    <row r="19" spans="1:33" s="339" customFormat="1">
      <c r="A19" s="266"/>
      <c r="B19" s="1833">
        <v>20301</v>
      </c>
      <c r="C19" s="1834">
        <v>0.1</v>
      </c>
      <c r="D19" s="2412" t="s">
        <v>599</v>
      </c>
      <c r="E19" s="2246">
        <v>15</v>
      </c>
      <c r="F19" s="795">
        <v>0</v>
      </c>
      <c r="G19" s="795">
        <v>0</v>
      </c>
      <c r="H19" s="782">
        <v>0</v>
      </c>
      <c r="I19" s="782">
        <v>0</v>
      </c>
      <c r="J19" s="782">
        <v>0</v>
      </c>
      <c r="K19" s="2420">
        <v>0</v>
      </c>
      <c r="L19" s="2246">
        <v>0</v>
      </c>
      <c r="M19" s="795">
        <v>0</v>
      </c>
      <c r="N19" s="782">
        <v>0</v>
      </c>
      <c r="O19" s="782">
        <v>0</v>
      </c>
      <c r="P19" s="782">
        <v>0</v>
      </c>
      <c r="Q19" s="782">
        <v>0</v>
      </c>
      <c r="R19" s="2420">
        <v>0</v>
      </c>
      <c r="S19" s="2246">
        <v>0</v>
      </c>
      <c r="T19" s="795">
        <v>0</v>
      </c>
      <c r="U19" s="795">
        <v>0</v>
      </c>
      <c r="V19" s="795">
        <v>0</v>
      </c>
      <c r="W19" s="795">
        <v>0</v>
      </c>
      <c r="X19" s="795">
        <v>0</v>
      </c>
      <c r="Y19" s="795">
        <v>0</v>
      </c>
      <c r="Z19" s="2246">
        <f t="shared" ref="Z19:Z21" si="8">E19+L19+S19</f>
        <v>15</v>
      </c>
      <c r="AA19" s="3080"/>
      <c r="AB19" s="3094"/>
      <c r="AC19" s="3094"/>
      <c r="AD19" s="3094"/>
      <c r="AE19" s="3094"/>
      <c r="AF19" s="3095"/>
      <c r="AG19" s="307"/>
    </row>
    <row r="20" spans="1:33" s="339" customFormat="1">
      <c r="A20" s="266"/>
      <c r="B20" s="1833">
        <v>20302</v>
      </c>
      <c r="C20" s="1834">
        <v>0.1</v>
      </c>
      <c r="D20" s="2412" t="s">
        <v>600</v>
      </c>
      <c r="E20" s="2246">
        <v>3</v>
      </c>
      <c r="F20" s="795">
        <v>0</v>
      </c>
      <c r="G20" s="795">
        <v>0</v>
      </c>
      <c r="H20" s="782">
        <v>40</v>
      </c>
      <c r="I20" s="782">
        <v>140</v>
      </c>
      <c r="J20" s="782">
        <v>0</v>
      </c>
      <c r="K20" s="2420">
        <v>0</v>
      </c>
      <c r="L20" s="2246">
        <v>0</v>
      </c>
      <c r="M20" s="795">
        <v>0</v>
      </c>
      <c r="N20" s="782">
        <v>0</v>
      </c>
      <c r="O20" s="782">
        <v>0</v>
      </c>
      <c r="P20" s="782">
        <v>0</v>
      </c>
      <c r="Q20" s="782">
        <v>0</v>
      </c>
      <c r="R20" s="2420">
        <v>0</v>
      </c>
      <c r="S20" s="2246">
        <v>4</v>
      </c>
      <c r="T20" s="795">
        <v>0</v>
      </c>
      <c r="U20" s="782">
        <v>0</v>
      </c>
      <c r="V20" s="782">
        <v>10</v>
      </c>
      <c r="W20" s="782">
        <v>10</v>
      </c>
      <c r="X20" s="782">
        <v>0</v>
      </c>
      <c r="Y20" s="791">
        <v>0</v>
      </c>
      <c r="Z20" s="2246">
        <f t="shared" si="8"/>
        <v>7</v>
      </c>
      <c r="AA20" s="3080"/>
      <c r="AB20" s="3094"/>
      <c r="AC20" s="3094"/>
      <c r="AD20" s="3094"/>
      <c r="AE20" s="3094"/>
      <c r="AF20" s="3095"/>
      <c r="AG20" s="307"/>
    </row>
    <row r="21" spans="1:33" s="339" customFormat="1">
      <c r="A21" s="266"/>
      <c r="B21" s="1833">
        <v>20303</v>
      </c>
      <c r="C21" s="1834">
        <v>0.1</v>
      </c>
      <c r="D21" s="2412" t="s">
        <v>578</v>
      </c>
      <c r="E21" s="2246">
        <v>4</v>
      </c>
      <c r="F21" s="795">
        <v>0</v>
      </c>
      <c r="G21" s="795">
        <v>0</v>
      </c>
      <c r="H21" s="782">
        <v>0</v>
      </c>
      <c r="I21" s="782">
        <v>0</v>
      </c>
      <c r="J21" s="782">
        <v>0</v>
      </c>
      <c r="K21" s="2420">
        <v>0</v>
      </c>
      <c r="L21" s="2246">
        <v>0</v>
      </c>
      <c r="M21" s="795">
        <v>0</v>
      </c>
      <c r="N21" s="782">
        <v>0</v>
      </c>
      <c r="O21" s="782">
        <v>0</v>
      </c>
      <c r="P21" s="782">
        <v>20</v>
      </c>
      <c r="Q21" s="782">
        <v>30</v>
      </c>
      <c r="R21" s="2420">
        <v>0</v>
      </c>
      <c r="S21" s="2246">
        <v>0</v>
      </c>
      <c r="T21" s="795">
        <v>0</v>
      </c>
      <c r="U21" s="782">
        <v>0</v>
      </c>
      <c r="V21" s="782">
        <v>0</v>
      </c>
      <c r="W21" s="782">
        <v>0</v>
      </c>
      <c r="X21" s="782">
        <v>0</v>
      </c>
      <c r="Y21" s="791">
        <v>0</v>
      </c>
      <c r="Z21" s="2246">
        <f t="shared" si="8"/>
        <v>4</v>
      </c>
      <c r="AA21" s="3080"/>
      <c r="AB21" s="3094"/>
      <c r="AC21" s="3094"/>
      <c r="AD21" s="3094"/>
      <c r="AE21" s="3094"/>
      <c r="AF21" s="3095"/>
      <c r="AG21" s="307"/>
    </row>
    <row r="22" spans="1:33" s="339" customFormat="1">
      <c r="A22" s="266"/>
      <c r="B22" s="1833">
        <v>20304</v>
      </c>
      <c r="C22" s="1834">
        <v>0.1</v>
      </c>
      <c r="D22" s="2412" t="s">
        <v>579</v>
      </c>
      <c r="E22" s="345">
        <f t="shared" ref="E22:Z22" si="9">SUM(E23:E24)</f>
        <v>43</v>
      </c>
      <c r="F22" s="256">
        <f t="shared" si="9"/>
        <v>0</v>
      </c>
      <c r="G22" s="254">
        <f t="shared" si="9"/>
        <v>0</v>
      </c>
      <c r="H22" s="254">
        <f t="shared" si="9"/>
        <v>0</v>
      </c>
      <c r="I22" s="254">
        <f t="shared" si="9"/>
        <v>0</v>
      </c>
      <c r="J22" s="254">
        <f t="shared" si="9"/>
        <v>0</v>
      </c>
      <c r="K22" s="2035">
        <f t="shared" si="9"/>
        <v>0</v>
      </c>
      <c r="L22" s="345">
        <f t="shared" si="9"/>
        <v>0</v>
      </c>
      <c r="M22" s="256">
        <f t="shared" si="9"/>
        <v>0</v>
      </c>
      <c r="N22" s="254">
        <f t="shared" si="9"/>
        <v>0</v>
      </c>
      <c r="O22" s="254">
        <f t="shared" si="9"/>
        <v>0</v>
      </c>
      <c r="P22" s="254">
        <f t="shared" si="9"/>
        <v>0</v>
      </c>
      <c r="Q22" s="254">
        <f t="shared" si="9"/>
        <v>0</v>
      </c>
      <c r="R22" s="2035">
        <f t="shared" si="9"/>
        <v>0</v>
      </c>
      <c r="S22" s="345">
        <f t="shared" si="9"/>
        <v>0</v>
      </c>
      <c r="T22" s="256">
        <f t="shared" si="9"/>
        <v>0</v>
      </c>
      <c r="U22" s="254">
        <f t="shared" si="9"/>
        <v>0</v>
      </c>
      <c r="V22" s="254">
        <f t="shared" si="9"/>
        <v>0</v>
      </c>
      <c r="W22" s="254">
        <f t="shared" si="9"/>
        <v>0</v>
      </c>
      <c r="X22" s="254">
        <f t="shared" si="9"/>
        <v>0</v>
      </c>
      <c r="Y22" s="255">
        <f t="shared" si="9"/>
        <v>0</v>
      </c>
      <c r="Z22" s="345">
        <f t="shared" si="9"/>
        <v>43</v>
      </c>
      <c r="AA22" s="3080"/>
      <c r="AB22" s="3094"/>
      <c r="AC22" s="3094"/>
      <c r="AD22" s="3094"/>
      <c r="AE22" s="3094"/>
      <c r="AF22" s="3095"/>
    </row>
    <row r="23" spans="1:33" s="339" customFormat="1">
      <c r="A23" s="266"/>
      <c r="B23" s="1836">
        <v>2030401</v>
      </c>
      <c r="C23" s="1837">
        <v>0.1</v>
      </c>
      <c r="D23" s="2413" t="s">
        <v>1375</v>
      </c>
      <c r="E23" s="2246">
        <v>43</v>
      </c>
      <c r="F23" s="795">
        <v>0</v>
      </c>
      <c r="G23" s="795">
        <v>0</v>
      </c>
      <c r="H23" s="795">
        <v>0</v>
      </c>
      <c r="I23" s="795">
        <v>0</v>
      </c>
      <c r="J23" s="795">
        <v>0</v>
      </c>
      <c r="K23" s="795">
        <v>0</v>
      </c>
      <c r="L23" s="2246">
        <v>0</v>
      </c>
      <c r="M23" s="795">
        <v>0</v>
      </c>
      <c r="N23" s="795">
        <v>0</v>
      </c>
      <c r="O23" s="795">
        <v>0</v>
      </c>
      <c r="P23" s="795">
        <v>0</v>
      </c>
      <c r="Q23" s="795">
        <v>0</v>
      </c>
      <c r="R23" s="795">
        <v>0</v>
      </c>
      <c r="S23" s="2246">
        <v>0</v>
      </c>
      <c r="T23" s="795">
        <v>0</v>
      </c>
      <c r="U23" s="795">
        <v>0</v>
      </c>
      <c r="V23" s="795">
        <v>0</v>
      </c>
      <c r="W23" s="795">
        <v>0</v>
      </c>
      <c r="X23" s="795">
        <v>0</v>
      </c>
      <c r="Y23" s="795">
        <v>0</v>
      </c>
      <c r="Z23" s="2246">
        <f t="shared" ref="Z23:Z24" si="10">E23+L23+S23</f>
        <v>43</v>
      </c>
      <c r="AA23" s="3080"/>
      <c r="AB23" s="3094"/>
      <c r="AC23" s="3094"/>
      <c r="AD23" s="3094"/>
      <c r="AE23" s="3094"/>
      <c r="AF23" s="3095"/>
      <c r="AG23" s="307"/>
    </row>
    <row r="24" spans="1:33" s="339" customFormat="1">
      <c r="A24" s="266"/>
      <c r="B24" s="1836">
        <v>2030402</v>
      </c>
      <c r="C24" s="1837">
        <v>0.1</v>
      </c>
      <c r="D24" s="2413" t="s">
        <v>601</v>
      </c>
      <c r="E24" s="2246">
        <v>0</v>
      </c>
      <c r="F24" s="795">
        <v>0</v>
      </c>
      <c r="G24" s="795">
        <v>0</v>
      </c>
      <c r="H24" s="795">
        <v>0</v>
      </c>
      <c r="I24" s="795">
        <v>0</v>
      </c>
      <c r="J24" s="795">
        <v>0</v>
      </c>
      <c r="K24" s="795">
        <v>0</v>
      </c>
      <c r="L24" s="2246">
        <v>0</v>
      </c>
      <c r="M24" s="795">
        <v>0</v>
      </c>
      <c r="N24" s="795">
        <v>0</v>
      </c>
      <c r="O24" s="795">
        <v>0</v>
      </c>
      <c r="P24" s="795">
        <v>0</v>
      </c>
      <c r="Q24" s="795">
        <v>0</v>
      </c>
      <c r="R24" s="795">
        <v>0</v>
      </c>
      <c r="S24" s="2246">
        <v>0</v>
      </c>
      <c r="T24" s="795">
        <v>0</v>
      </c>
      <c r="U24" s="795">
        <v>0</v>
      </c>
      <c r="V24" s="795">
        <v>0</v>
      </c>
      <c r="W24" s="795">
        <v>0</v>
      </c>
      <c r="X24" s="795">
        <v>0</v>
      </c>
      <c r="Y24" s="795">
        <v>0</v>
      </c>
      <c r="Z24" s="2246">
        <f t="shared" si="10"/>
        <v>0</v>
      </c>
      <c r="AA24" s="3080"/>
      <c r="AB24" s="3094"/>
      <c r="AC24" s="3094"/>
      <c r="AD24" s="3094"/>
      <c r="AE24" s="3094"/>
      <c r="AF24" s="3095"/>
      <c r="AG24" s="307"/>
    </row>
    <row r="25" spans="1:33" s="339" customFormat="1">
      <c r="A25" s="266"/>
      <c r="B25" s="1833">
        <v>20305</v>
      </c>
      <c r="C25" s="1839">
        <v>0.1</v>
      </c>
      <c r="D25" s="2412" t="s">
        <v>602</v>
      </c>
      <c r="E25" s="345">
        <f>SUM(E26:E28)</f>
        <v>114</v>
      </c>
      <c r="F25" s="256">
        <f t="shared" ref="F25:Z25" si="11">SUM(F26:F28)</f>
        <v>0</v>
      </c>
      <c r="G25" s="254">
        <f t="shared" si="11"/>
        <v>0</v>
      </c>
      <c r="H25" s="254">
        <f t="shared" si="11"/>
        <v>0</v>
      </c>
      <c r="I25" s="254">
        <f t="shared" si="11"/>
        <v>0</v>
      </c>
      <c r="J25" s="254">
        <f t="shared" si="11"/>
        <v>0</v>
      </c>
      <c r="K25" s="2035">
        <f t="shared" si="11"/>
        <v>0</v>
      </c>
      <c r="L25" s="345">
        <f t="shared" si="11"/>
        <v>0</v>
      </c>
      <c r="M25" s="256">
        <f t="shared" si="11"/>
        <v>0</v>
      </c>
      <c r="N25" s="254">
        <f t="shared" si="11"/>
        <v>0</v>
      </c>
      <c r="O25" s="254">
        <f t="shared" si="11"/>
        <v>0</v>
      </c>
      <c r="P25" s="254">
        <f t="shared" si="11"/>
        <v>0</v>
      </c>
      <c r="Q25" s="254">
        <f t="shared" si="11"/>
        <v>0</v>
      </c>
      <c r="R25" s="2035">
        <f t="shared" si="11"/>
        <v>0</v>
      </c>
      <c r="S25" s="345">
        <f t="shared" si="11"/>
        <v>0</v>
      </c>
      <c r="T25" s="256">
        <f t="shared" si="11"/>
        <v>0</v>
      </c>
      <c r="U25" s="254">
        <f t="shared" si="11"/>
        <v>0</v>
      </c>
      <c r="V25" s="254">
        <f t="shared" si="11"/>
        <v>0</v>
      </c>
      <c r="W25" s="254">
        <f t="shared" si="11"/>
        <v>0</v>
      </c>
      <c r="X25" s="254">
        <f t="shared" si="11"/>
        <v>0</v>
      </c>
      <c r="Y25" s="255">
        <f t="shared" si="11"/>
        <v>0</v>
      </c>
      <c r="Z25" s="345">
        <f t="shared" si="11"/>
        <v>114</v>
      </c>
      <c r="AA25" s="3080"/>
      <c r="AB25" s="3094"/>
      <c r="AC25" s="3094"/>
      <c r="AD25" s="3094"/>
      <c r="AE25" s="3094"/>
      <c r="AF25" s="3095"/>
    </row>
    <row r="26" spans="1:33" s="339" customFormat="1">
      <c r="A26" s="266"/>
      <c r="B26" s="1833">
        <v>2030501</v>
      </c>
      <c r="C26" s="1840">
        <v>0.1</v>
      </c>
      <c r="D26" s="2413" t="s">
        <v>1391</v>
      </c>
      <c r="E26" s="2246">
        <v>63</v>
      </c>
      <c r="F26" s="795">
        <v>0</v>
      </c>
      <c r="G26" s="795">
        <v>0</v>
      </c>
      <c r="H26" s="795">
        <v>0</v>
      </c>
      <c r="I26" s="795">
        <v>0</v>
      </c>
      <c r="J26" s="795">
        <v>0</v>
      </c>
      <c r="K26" s="795">
        <v>0</v>
      </c>
      <c r="L26" s="2246">
        <v>0</v>
      </c>
      <c r="M26" s="795">
        <v>0</v>
      </c>
      <c r="N26" s="795">
        <v>0</v>
      </c>
      <c r="O26" s="795">
        <v>0</v>
      </c>
      <c r="P26" s="795">
        <v>0</v>
      </c>
      <c r="Q26" s="795">
        <v>0</v>
      </c>
      <c r="R26" s="2420">
        <v>0</v>
      </c>
      <c r="S26" s="2246">
        <v>0</v>
      </c>
      <c r="T26" s="795">
        <v>0</v>
      </c>
      <c r="U26" s="795">
        <v>0</v>
      </c>
      <c r="V26" s="795">
        <v>0</v>
      </c>
      <c r="W26" s="795">
        <v>0</v>
      </c>
      <c r="X26" s="795">
        <v>0</v>
      </c>
      <c r="Y26" s="795">
        <v>0</v>
      </c>
      <c r="Z26" s="2246">
        <f t="shared" ref="Z26:Z29" si="12">E26+L26+S26</f>
        <v>63</v>
      </c>
      <c r="AA26" s="3080"/>
      <c r="AB26" s="3094"/>
      <c r="AC26" s="3094"/>
      <c r="AD26" s="3094"/>
      <c r="AE26" s="3094"/>
      <c r="AF26" s="3095"/>
      <c r="AG26" s="307"/>
    </row>
    <row r="27" spans="1:33" s="339" customFormat="1" ht="25.5">
      <c r="A27" s="266"/>
      <c r="B27" s="1833">
        <v>2030502</v>
      </c>
      <c r="C27" s="1840">
        <v>0.1</v>
      </c>
      <c r="D27" s="2413" t="s">
        <v>948</v>
      </c>
      <c r="E27" s="2246">
        <v>34</v>
      </c>
      <c r="F27" s="795">
        <v>0</v>
      </c>
      <c r="G27" s="795">
        <v>0</v>
      </c>
      <c r="H27" s="795">
        <v>0</v>
      </c>
      <c r="I27" s="795">
        <v>0</v>
      </c>
      <c r="J27" s="795">
        <v>0</v>
      </c>
      <c r="K27" s="795">
        <v>0</v>
      </c>
      <c r="L27" s="2246">
        <v>0</v>
      </c>
      <c r="M27" s="795">
        <v>0</v>
      </c>
      <c r="N27" s="795">
        <v>0</v>
      </c>
      <c r="O27" s="795">
        <v>0</v>
      </c>
      <c r="P27" s="795">
        <v>0</v>
      </c>
      <c r="Q27" s="795">
        <v>0</v>
      </c>
      <c r="R27" s="2420">
        <v>0</v>
      </c>
      <c r="S27" s="2246">
        <v>0</v>
      </c>
      <c r="T27" s="795">
        <v>0</v>
      </c>
      <c r="U27" s="795">
        <v>0</v>
      </c>
      <c r="V27" s="795">
        <v>0</v>
      </c>
      <c r="W27" s="795">
        <v>0</v>
      </c>
      <c r="X27" s="795">
        <v>0</v>
      </c>
      <c r="Y27" s="795">
        <v>0</v>
      </c>
      <c r="Z27" s="2246">
        <f t="shared" si="12"/>
        <v>34</v>
      </c>
      <c r="AA27" s="3080"/>
      <c r="AB27" s="3094"/>
      <c r="AC27" s="3094"/>
      <c r="AD27" s="3094"/>
      <c r="AE27" s="3094"/>
      <c r="AF27" s="3095"/>
      <c r="AG27" s="307"/>
    </row>
    <row r="28" spans="1:33" s="339" customFormat="1">
      <c r="A28" s="266"/>
      <c r="B28" s="1833">
        <v>2030503</v>
      </c>
      <c r="C28" s="1840">
        <v>0.1</v>
      </c>
      <c r="D28" s="2413" t="s">
        <v>966</v>
      </c>
      <c r="E28" s="2246">
        <v>17</v>
      </c>
      <c r="F28" s="795">
        <v>0</v>
      </c>
      <c r="G28" s="795">
        <v>0</v>
      </c>
      <c r="H28" s="795">
        <v>0</v>
      </c>
      <c r="I28" s="795">
        <v>0</v>
      </c>
      <c r="J28" s="795">
        <v>0</v>
      </c>
      <c r="K28" s="795">
        <v>0</v>
      </c>
      <c r="L28" s="2246">
        <v>0</v>
      </c>
      <c r="M28" s="795">
        <v>0</v>
      </c>
      <c r="N28" s="795">
        <v>0</v>
      </c>
      <c r="O28" s="795">
        <v>0</v>
      </c>
      <c r="P28" s="795">
        <v>0</v>
      </c>
      <c r="Q28" s="795">
        <v>0</v>
      </c>
      <c r="R28" s="2420">
        <v>0</v>
      </c>
      <c r="S28" s="2246">
        <v>0</v>
      </c>
      <c r="T28" s="795">
        <v>0</v>
      </c>
      <c r="U28" s="795">
        <v>0</v>
      </c>
      <c r="V28" s="795">
        <v>0</v>
      </c>
      <c r="W28" s="795">
        <v>0</v>
      </c>
      <c r="X28" s="795">
        <v>0</v>
      </c>
      <c r="Y28" s="795">
        <v>0</v>
      </c>
      <c r="Z28" s="2246">
        <f t="shared" si="12"/>
        <v>17</v>
      </c>
      <c r="AA28" s="3080"/>
      <c r="AB28" s="3094"/>
      <c r="AC28" s="3094"/>
      <c r="AD28" s="3094"/>
      <c r="AE28" s="3094"/>
      <c r="AF28" s="3095"/>
      <c r="AG28" s="307"/>
    </row>
    <row r="29" spans="1:33" s="339" customFormat="1">
      <c r="A29" s="266"/>
      <c r="B29" s="1833">
        <v>20306</v>
      </c>
      <c r="C29" s="1834">
        <v>0.1</v>
      </c>
      <c r="D29" s="2412" t="s">
        <v>581</v>
      </c>
      <c r="E29" s="2246">
        <v>17</v>
      </c>
      <c r="F29" s="795">
        <v>0</v>
      </c>
      <c r="G29" s="795">
        <v>0</v>
      </c>
      <c r="H29" s="795">
        <v>0</v>
      </c>
      <c r="I29" s="795">
        <v>0</v>
      </c>
      <c r="J29" s="795">
        <v>0</v>
      </c>
      <c r="K29" s="795">
        <v>0</v>
      </c>
      <c r="L29" s="2246">
        <v>0</v>
      </c>
      <c r="M29" s="795">
        <v>0</v>
      </c>
      <c r="N29" s="795">
        <v>0</v>
      </c>
      <c r="O29" s="795">
        <v>0</v>
      </c>
      <c r="P29" s="795">
        <v>0</v>
      </c>
      <c r="Q29" s="795">
        <v>0</v>
      </c>
      <c r="R29" s="2420">
        <v>0</v>
      </c>
      <c r="S29" s="2246">
        <v>46</v>
      </c>
      <c r="T29" s="795">
        <v>0</v>
      </c>
      <c r="U29" s="782">
        <v>0</v>
      </c>
      <c r="V29" s="782">
        <v>0</v>
      </c>
      <c r="W29" s="782">
        <v>10</v>
      </c>
      <c r="X29" s="782">
        <v>60</v>
      </c>
      <c r="Y29" s="791">
        <v>0</v>
      </c>
      <c r="Z29" s="2246">
        <f t="shared" si="12"/>
        <v>63</v>
      </c>
      <c r="AA29" s="3080"/>
      <c r="AB29" s="3094"/>
      <c r="AC29" s="3094"/>
      <c r="AD29" s="3094"/>
      <c r="AE29" s="3094"/>
      <c r="AF29" s="3095"/>
      <c r="AG29" s="307"/>
    </row>
    <row r="30" spans="1:33" s="339" customFormat="1" ht="14.25" customHeight="1">
      <c r="A30" s="308">
        <v>4</v>
      </c>
      <c r="B30" s="1831">
        <v>204</v>
      </c>
      <c r="C30" s="1832"/>
      <c r="D30" s="2414" t="s">
        <v>274</v>
      </c>
      <c r="E30" s="342">
        <f>E31+E34+E43+E44</f>
        <v>1259</v>
      </c>
      <c r="F30" s="314">
        <f t="shared" ref="F30:K30" si="13">F31+F34+F43+F44</f>
        <v>0</v>
      </c>
      <c r="G30" s="312">
        <f t="shared" si="13"/>
        <v>0</v>
      </c>
      <c r="H30" s="312">
        <f t="shared" si="13"/>
        <v>0</v>
      </c>
      <c r="I30" s="312">
        <f t="shared" si="13"/>
        <v>0</v>
      </c>
      <c r="J30" s="312">
        <f t="shared" si="13"/>
        <v>0</v>
      </c>
      <c r="K30" s="2034">
        <f t="shared" si="13"/>
        <v>0</v>
      </c>
      <c r="L30" s="342">
        <f>L31+L34+L43+L44</f>
        <v>6</v>
      </c>
      <c r="M30" s="314">
        <f t="shared" ref="M30" si="14">M31+M34+M43+M44</f>
        <v>0</v>
      </c>
      <c r="N30" s="312">
        <f t="shared" ref="N30" si="15">N31+N34+N43+N44</f>
        <v>0</v>
      </c>
      <c r="O30" s="312">
        <f t="shared" ref="O30" si="16">O31+O34+O43+O44</f>
        <v>0</v>
      </c>
      <c r="P30" s="312">
        <f t="shared" ref="P30" si="17">P31+P34+P43+P44</f>
        <v>0</v>
      </c>
      <c r="Q30" s="312">
        <f t="shared" ref="Q30" si="18">Q31+Q34+Q43+Q44</f>
        <v>0</v>
      </c>
      <c r="R30" s="2034">
        <f t="shared" ref="R30" si="19">R31+R34+R43+R44</f>
        <v>0</v>
      </c>
      <c r="S30" s="342">
        <f>S31+S34+S43+S44</f>
        <v>3</v>
      </c>
      <c r="T30" s="314">
        <f t="shared" ref="T30" si="20">T31+T34+T43+T44</f>
        <v>0</v>
      </c>
      <c r="U30" s="312">
        <f t="shared" ref="U30" si="21">U31+U34+U43+U44</f>
        <v>0</v>
      </c>
      <c r="V30" s="312">
        <f t="shared" ref="V30" si="22">V31+V34+V43+V44</f>
        <v>0</v>
      </c>
      <c r="W30" s="312">
        <f t="shared" ref="W30" si="23">W31+W34+W43+W44</f>
        <v>0</v>
      </c>
      <c r="X30" s="312">
        <f t="shared" ref="X30:Z30" si="24">X31+X34+X43+X44</f>
        <v>0</v>
      </c>
      <c r="Y30" s="313">
        <f t="shared" ref="Y30" si="25">Y31+Y34+Y43+Y44</f>
        <v>0</v>
      </c>
      <c r="Z30" s="342">
        <f t="shared" si="24"/>
        <v>1268</v>
      </c>
      <c r="AA30" s="3080"/>
      <c r="AB30" s="3094"/>
      <c r="AC30" s="3094"/>
      <c r="AD30" s="3094"/>
      <c r="AE30" s="3094"/>
      <c r="AF30" s="3095"/>
      <c r="AG30" s="307"/>
    </row>
    <row r="31" spans="1:33" s="339" customFormat="1">
      <c r="A31" s="266"/>
      <c r="B31" s="1833">
        <v>20401</v>
      </c>
      <c r="C31" s="1839"/>
      <c r="D31" s="2408" t="s">
        <v>589</v>
      </c>
      <c r="E31" s="345">
        <f t="shared" ref="E31:Z31" si="26">SUM(E32:E33)</f>
        <v>7</v>
      </c>
      <c r="F31" s="256">
        <f t="shared" si="26"/>
        <v>0</v>
      </c>
      <c r="G31" s="254">
        <f t="shared" si="26"/>
        <v>0</v>
      </c>
      <c r="H31" s="254">
        <f t="shared" si="26"/>
        <v>0</v>
      </c>
      <c r="I31" s="254">
        <f t="shared" si="26"/>
        <v>0</v>
      </c>
      <c r="J31" s="254">
        <f t="shared" si="26"/>
        <v>0</v>
      </c>
      <c r="K31" s="2035">
        <f t="shared" si="26"/>
        <v>0</v>
      </c>
      <c r="L31" s="345">
        <f t="shared" si="26"/>
        <v>0</v>
      </c>
      <c r="M31" s="256">
        <f t="shared" si="26"/>
        <v>0</v>
      </c>
      <c r="N31" s="254">
        <f t="shared" si="26"/>
        <v>0</v>
      </c>
      <c r="O31" s="254">
        <f t="shared" si="26"/>
        <v>0</v>
      </c>
      <c r="P31" s="254">
        <f t="shared" si="26"/>
        <v>0</v>
      </c>
      <c r="Q31" s="254">
        <f t="shared" si="26"/>
        <v>0</v>
      </c>
      <c r="R31" s="2035">
        <f t="shared" si="26"/>
        <v>0</v>
      </c>
      <c r="S31" s="345">
        <f t="shared" si="26"/>
        <v>0</v>
      </c>
      <c r="T31" s="256">
        <f t="shared" si="26"/>
        <v>0</v>
      </c>
      <c r="U31" s="254">
        <f t="shared" si="26"/>
        <v>0</v>
      </c>
      <c r="V31" s="254">
        <f t="shared" si="26"/>
        <v>0</v>
      </c>
      <c r="W31" s="254">
        <f t="shared" si="26"/>
        <v>0</v>
      </c>
      <c r="X31" s="254">
        <f t="shared" si="26"/>
        <v>0</v>
      </c>
      <c r="Y31" s="255">
        <f t="shared" si="26"/>
        <v>0</v>
      </c>
      <c r="Z31" s="345">
        <f t="shared" si="26"/>
        <v>7</v>
      </c>
      <c r="AA31" s="3080"/>
      <c r="AB31" s="3094"/>
      <c r="AC31" s="3094"/>
      <c r="AD31" s="3094"/>
      <c r="AE31" s="3094"/>
      <c r="AF31" s="3095"/>
    </row>
    <row r="32" spans="1:33" s="339" customFormat="1">
      <c r="A32" s="266"/>
      <c r="B32" s="1836">
        <v>2040101</v>
      </c>
      <c r="C32" s="1837">
        <v>0.1</v>
      </c>
      <c r="D32" s="2415" t="s">
        <v>603</v>
      </c>
      <c r="E32" s="2246">
        <v>7</v>
      </c>
      <c r="F32" s="795">
        <v>0</v>
      </c>
      <c r="G32" s="795">
        <v>0</v>
      </c>
      <c r="H32" s="795">
        <v>0</v>
      </c>
      <c r="I32" s="795">
        <v>0</v>
      </c>
      <c r="J32" s="795">
        <v>0</v>
      </c>
      <c r="K32" s="795">
        <v>0</v>
      </c>
      <c r="L32" s="2246">
        <v>0</v>
      </c>
      <c r="M32" s="795">
        <v>0</v>
      </c>
      <c r="N32" s="795">
        <v>0</v>
      </c>
      <c r="O32" s="795">
        <v>0</v>
      </c>
      <c r="P32" s="795">
        <v>0</v>
      </c>
      <c r="Q32" s="795">
        <v>0</v>
      </c>
      <c r="R32" s="2420">
        <v>0</v>
      </c>
      <c r="S32" s="2246">
        <v>0</v>
      </c>
      <c r="T32" s="795">
        <v>0</v>
      </c>
      <c r="U32" s="795">
        <v>0</v>
      </c>
      <c r="V32" s="795">
        <v>0</v>
      </c>
      <c r="W32" s="795">
        <v>0</v>
      </c>
      <c r="X32" s="795">
        <v>0</v>
      </c>
      <c r="Y32" s="795">
        <v>0</v>
      </c>
      <c r="Z32" s="2246">
        <f t="shared" ref="Z32:Z33" si="27">E32+L32+S32</f>
        <v>7</v>
      </c>
      <c r="AA32" s="3080"/>
      <c r="AB32" s="3094"/>
      <c r="AC32" s="3094"/>
      <c r="AD32" s="3094"/>
      <c r="AE32" s="3094"/>
      <c r="AF32" s="3095"/>
    </row>
    <row r="33" spans="1:33" s="339" customFormat="1">
      <c r="A33" s="266"/>
      <c r="B33" s="1836">
        <v>2040102</v>
      </c>
      <c r="C33" s="1837">
        <v>0.04</v>
      </c>
      <c r="D33" s="2415" t="s">
        <v>604</v>
      </c>
      <c r="E33" s="2246">
        <v>0</v>
      </c>
      <c r="F33" s="795">
        <v>0</v>
      </c>
      <c r="G33" s="795">
        <v>0</v>
      </c>
      <c r="H33" s="795">
        <v>0</v>
      </c>
      <c r="I33" s="795">
        <v>0</v>
      </c>
      <c r="J33" s="795">
        <v>0</v>
      </c>
      <c r="K33" s="795">
        <v>0</v>
      </c>
      <c r="L33" s="2246">
        <v>0</v>
      </c>
      <c r="M33" s="795">
        <v>0</v>
      </c>
      <c r="N33" s="795">
        <v>0</v>
      </c>
      <c r="O33" s="795">
        <v>0</v>
      </c>
      <c r="P33" s="795">
        <v>0</v>
      </c>
      <c r="Q33" s="795">
        <v>0</v>
      </c>
      <c r="R33" s="2420">
        <v>0</v>
      </c>
      <c r="S33" s="2246">
        <v>0</v>
      </c>
      <c r="T33" s="795">
        <v>0</v>
      </c>
      <c r="U33" s="795">
        <v>0</v>
      </c>
      <c r="V33" s="795">
        <v>0</v>
      </c>
      <c r="W33" s="795">
        <v>0</v>
      </c>
      <c r="X33" s="795">
        <v>0</v>
      </c>
      <c r="Y33" s="795">
        <v>0</v>
      </c>
      <c r="Z33" s="2246">
        <f t="shared" si="27"/>
        <v>0</v>
      </c>
      <c r="AA33" s="3080"/>
      <c r="AB33" s="3094"/>
      <c r="AC33" s="3094"/>
      <c r="AD33" s="3094"/>
      <c r="AE33" s="3094"/>
      <c r="AF33" s="3095"/>
    </row>
    <row r="34" spans="1:33" s="339" customFormat="1">
      <c r="A34" s="266"/>
      <c r="B34" s="1833">
        <v>20402</v>
      </c>
      <c r="C34" s="1839"/>
      <c r="D34" s="2408" t="s">
        <v>605</v>
      </c>
      <c r="E34" s="345">
        <f>SUM(E35:E42)</f>
        <v>1180</v>
      </c>
      <c r="F34" s="256">
        <f>SUM(F35:F42)</f>
        <v>0</v>
      </c>
      <c r="G34" s="254">
        <f t="shared" ref="G34" si="28">SUM(G35:G42)</f>
        <v>0</v>
      </c>
      <c r="H34" s="254">
        <f t="shared" ref="H34" si="29">SUM(H35:H42)</f>
        <v>0</v>
      </c>
      <c r="I34" s="254">
        <f t="shared" ref="I34" si="30">SUM(I35:I42)</f>
        <v>0</v>
      </c>
      <c r="J34" s="254">
        <f t="shared" ref="J34" si="31">SUM(J35:J42)</f>
        <v>0</v>
      </c>
      <c r="K34" s="2035">
        <f t="shared" ref="K34" si="32">SUM(K35:K42)</f>
        <v>0</v>
      </c>
      <c r="L34" s="345">
        <f>SUM(L35:L42)</f>
        <v>4</v>
      </c>
      <c r="M34" s="256">
        <f t="shared" ref="M34:Z34" si="33">SUM(M35:M42)</f>
        <v>0</v>
      </c>
      <c r="N34" s="254">
        <f t="shared" si="33"/>
        <v>0</v>
      </c>
      <c r="O34" s="254">
        <f t="shared" si="33"/>
        <v>0</v>
      </c>
      <c r="P34" s="254">
        <f t="shared" si="33"/>
        <v>0</v>
      </c>
      <c r="Q34" s="254">
        <f t="shared" si="33"/>
        <v>0</v>
      </c>
      <c r="R34" s="2035">
        <f t="shared" si="33"/>
        <v>0</v>
      </c>
      <c r="S34" s="345">
        <f t="shared" si="33"/>
        <v>0</v>
      </c>
      <c r="T34" s="256">
        <f t="shared" si="33"/>
        <v>0</v>
      </c>
      <c r="U34" s="254">
        <f t="shared" si="33"/>
        <v>0</v>
      </c>
      <c r="V34" s="254">
        <f t="shared" si="33"/>
        <v>0</v>
      </c>
      <c r="W34" s="254">
        <f t="shared" si="33"/>
        <v>0</v>
      </c>
      <c r="X34" s="254">
        <f t="shared" si="33"/>
        <v>0</v>
      </c>
      <c r="Y34" s="255">
        <f t="shared" si="33"/>
        <v>0</v>
      </c>
      <c r="Z34" s="345">
        <f t="shared" si="33"/>
        <v>1184</v>
      </c>
      <c r="AA34" s="3080"/>
      <c r="AB34" s="3094"/>
      <c r="AC34" s="3094"/>
      <c r="AD34" s="3094"/>
      <c r="AE34" s="3094"/>
      <c r="AF34" s="3095"/>
    </row>
    <row r="35" spans="1:33" s="339" customFormat="1">
      <c r="A35" s="266"/>
      <c r="B35" s="1833">
        <v>2040201</v>
      </c>
      <c r="C35" s="1834">
        <v>0.02</v>
      </c>
      <c r="D35" s="2413" t="s">
        <v>1007</v>
      </c>
      <c r="E35" s="2246">
        <v>0</v>
      </c>
      <c r="F35" s="795">
        <v>0</v>
      </c>
      <c r="G35" s="795">
        <v>0</v>
      </c>
      <c r="H35" s="795">
        <v>0</v>
      </c>
      <c r="I35" s="795">
        <v>0</v>
      </c>
      <c r="J35" s="795">
        <v>0</v>
      </c>
      <c r="K35" s="795">
        <v>0</v>
      </c>
      <c r="L35" s="2246">
        <v>0</v>
      </c>
      <c r="M35" s="795">
        <v>0</v>
      </c>
      <c r="N35" s="795">
        <v>0</v>
      </c>
      <c r="O35" s="795">
        <v>0</v>
      </c>
      <c r="P35" s="795">
        <v>0</v>
      </c>
      <c r="Q35" s="795">
        <v>0</v>
      </c>
      <c r="R35" s="795">
        <v>0</v>
      </c>
      <c r="S35" s="2246">
        <v>0</v>
      </c>
      <c r="T35" s="795">
        <v>0</v>
      </c>
      <c r="U35" s="795">
        <v>0</v>
      </c>
      <c r="V35" s="795">
        <v>0</v>
      </c>
      <c r="W35" s="795">
        <v>0</v>
      </c>
      <c r="X35" s="795">
        <v>0</v>
      </c>
      <c r="Y35" s="795">
        <v>0</v>
      </c>
      <c r="Z35" s="2246">
        <f t="shared" ref="Z35:Z44" si="34">E35+L35+S35</f>
        <v>0</v>
      </c>
      <c r="AA35" s="3080"/>
      <c r="AB35" s="3094"/>
      <c r="AC35" s="3094"/>
      <c r="AD35" s="3094"/>
      <c r="AE35" s="3094"/>
      <c r="AF35" s="3095"/>
    </row>
    <row r="36" spans="1:33" s="339" customFormat="1">
      <c r="A36" s="266"/>
      <c r="B36" s="1833">
        <v>2040202</v>
      </c>
      <c r="C36" s="1834">
        <v>0.02</v>
      </c>
      <c r="D36" s="2413" t="s">
        <v>1008</v>
      </c>
      <c r="E36" s="2246">
        <v>255</v>
      </c>
      <c r="F36" s="795">
        <v>0</v>
      </c>
      <c r="G36" s="795">
        <v>0</v>
      </c>
      <c r="H36" s="795">
        <v>0</v>
      </c>
      <c r="I36" s="795">
        <v>0</v>
      </c>
      <c r="J36" s="795">
        <v>0</v>
      </c>
      <c r="K36" s="795">
        <v>0</v>
      </c>
      <c r="L36" s="2246">
        <v>0</v>
      </c>
      <c r="M36" s="795">
        <v>0</v>
      </c>
      <c r="N36" s="795">
        <v>0</v>
      </c>
      <c r="O36" s="795">
        <v>0</v>
      </c>
      <c r="P36" s="795">
        <v>0</v>
      </c>
      <c r="Q36" s="795">
        <v>0</v>
      </c>
      <c r="R36" s="795">
        <v>0</v>
      </c>
      <c r="S36" s="2246">
        <v>0</v>
      </c>
      <c r="T36" s="795">
        <v>0</v>
      </c>
      <c r="U36" s="795">
        <v>0</v>
      </c>
      <c r="V36" s="795">
        <v>0</v>
      </c>
      <c r="W36" s="795">
        <v>0</v>
      </c>
      <c r="X36" s="795">
        <v>0</v>
      </c>
      <c r="Y36" s="795">
        <v>0</v>
      </c>
      <c r="Z36" s="2246">
        <f t="shared" si="34"/>
        <v>255</v>
      </c>
      <c r="AA36" s="3080"/>
      <c r="AB36" s="3094"/>
      <c r="AC36" s="3094"/>
      <c r="AD36" s="3094"/>
      <c r="AE36" s="3094"/>
      <c r="AF36" s="3095"/>
    </row>
    <row r="37" spans="1:33" s="339" customFormat="1">
      <c r="A37" s="266"/>
      <c r="B37" s="1833">
        <v>2040203</v>
      </c>
      <c r="C37" s="1834">
        <v>0.02</v>
      </c>
      <c r="D37" s="2413" t="s">
        <v>590</v>
      </c>
      <c r="E37" s="2246">
        <v>21</v>
      </c>
      <c r="F37" s="795">
        <v>0</v>
      </c>
      <c r="G37" s="795">
        <v>0</v>
      </c>
      <c r="H37" s="795">
        <v>0</v>
      </c>
      <c r="I37" s="795">
        <v>0</v>
      </c>
      <c r="J37" s="795">
        <v>0</v>
      </c>
      <c r="K37" s="795">
        <v>0</v>
      </c>
      <c r="L37" s="2246">
        <v>0</v>
      </c>
      <c r="M37" s="795">
        <v>0</v>
      </c>
      <c r="N37" s="795">
        <v>0</v>
      </c>
      <c r="O37" s="795">
        <v>0</v>
      </c>
      <c r="P37" s="795">
        <v>0</v>
      </c>
      <c r="Q37" s="795">
        <v>0</v>
      </c>
      <c r="R37" s="795">
        <v>0</v>
      </c>
      <c r="S37" s="2246">
        <v>0</v>
      </c>
      <c r="T37" s="795">
        <v>0</v>
      </c>
      <c r="U37" s="795">
        <v>0</v>
      </c>
      <c r="V37" s="795">
        <v>0</v>
      </c>
      <c r="W37" s="795">
        <v>0</v>
      </c>
      <c r="X37" s="795">
        <v>0</v>
      </c>
      <c r="Y37" s="795">
        <v>0</v>
      </c>
      <c r="Z37" s="2246">
        <f t="shared" si="34"/>
        <v>21</v>
      </c>
      <c r="AA37" s="3080"/>
      <c r="AB37" s="3094"/>
      <c r="AC37" s="3094"/>
      <c r="AD37" s="3094"/>
      <c r="AE37" s="3094"/>
      <c r="AF37" s="3095"/>
    </row>
    <row r="38" spans="1:33" s="339" customFormat="1">
      <c r="A38" s="266"/>
      <c r="B38" s="1833">
        <v>2040204</v>
      </c>
      <c r="C38" s="1834">
        <v>0.02</v>
      </c>
      <c r="D38" s="2415" t="s">
        <v>591</v>
      </c>
      <c r="E38" s="2246">
        <v>0</v>
      </c>
      <c r="F38" s="795">
        <v>0</v>
      </c>
      <c r="G38" s="795">
        <v>0</v>
      </c>
      <c r="H38" s="795">
        <v>0</v>
      </c>
      <c r="I38" s="795">
        <v>0</v>
      </c>
      <c r="J38" s="795">
        <v>0</v>
      </c>
      <c r="K38" s="795">
        <v>0</v>
      </c>
      <c r="L38" s="2246">
        <v>0</v>
      </c>
      <c r="M38" s="795">
        <v>0</v>
      </c>
      <c r="N38" s="795">
        <v>0</v>
      </c>
      <c r="O38" s="795">
        <v>0</v>
      </c>
      <c r="P38" s="795">
        <v>0</v>
      </c>
      <c r="Q38" s="795">
        <v>0</v>
      </c>
      <c r="R38" s="795">
        <v>0</v>
      </c>
      <c r="S38" s="2246">
        <v>0</v>
      </c>
      <c r="T38" s="795">
        <v>0</v>
      </c>
      <c r="U38" s="795">
        <v>0</v>
      </c>
      <c r="V38" s="795">
        <v>0</v>
      </c>
      <c r="W38" s="795">
        <v>0</v>
      </c>
      <c r="X38" s="795">
        <v>0</v>
      </c>
      <c r="Y38" s="795">
        <v>0</v>
      </c>
      <c r="Z38" s="2246">
        <f t="shared" si="34"/>
        <v>0</v>
      </c>
      <c r="AA38" s="3080"/>
      <c r="AB38" s="3094"/>
      <c r="AC38" s="3094"/>
      <c r="AD38" s="3094"/>
      <c r="AE38" s="3094"/>
      <c r="AF38" s="3095"/>
    </row>
    <row r="39" spans="1:33" s="339" customFormat="1">
      <c r="A39" s="266"/>
      <c r="B39" s="1833">
        <v>2040205</v>
      </c>
      <c r="C39" s="1834">
        <v>0.02</v>
      </c>
      <c r="D39" s="2413" t="s">
        <v>592</v>
      </c>
      <c r="E39" s="2246">
        <v>888</v>
      </c>
      <c r="F39" s="795">
        <v>0</v>
      </c>
      <c r="G39" s="795">
        <v>0</v>
      </c>
      <c r="H39" s="795">
        <v>0</v>
      </c>
      <c r="I39" s="795">
        <v>0</v>
      </c>
      <c r="J39" s="795">
        <v>0</v>
      </c>
      <c r="K39" s="795">
        <v>0</v>
      </c>
      <c r="L39" s="2246">
        <v>0</v>
      </c>
      <c r="M39" s="795">
        <v>0</v>
      </c>
      <c r="N39" s="795">
        <v>0</v>
      </c>
      <c r="O39" s="795">
        <v>0</v>
      </c>
      <c r="P39" s="795">
        <v>0</v>
      </c>
      <c r="Q39" s="795">
        <v>0</v>
      </c>
      <c r="R39" s="795">
        <v>0</v>
      </c>
      <c r="S39" s="2246">
        <v>0</v>
      </c>
      <c r="T39" s="795">
        <v>0</v>
      </c>
      <c r="U39" s="795">
        <v>0</v>
      </c>
      <c r="V39" s="795">
        <v>0</v>
      </c>
      <c r="W39" s="795">
        <v>0</v>
      </c>
      <c r="X39" s="795">
        <v>0</v>
      </c>
      <c r="Y39" s="795">
        <v>0</v>
      </c>
      <c r="Z39" s="2246">
        <f t="shared" si="34"/>
        <v>888</v>
      </c>
      <c r="AA39" s="3080"/>
      <c r="AB39" s="3094"/>
      <c r="AC39" s="3094"/>
      <c r="AD39" s="3094"/>
      <c r="AE39" s="3094"/>
      <c r="AF39" s="3095"/>
    </row>
    <row r="40" spans="1:33" s="339" customFormat="1">
      <c r="A40" s="266"/>
      <c r="B40" s="1833">
        <v>2040206</v>
      </c>
      <c r="C40" s="1834">
        <v>0.02</v>
      </c>
      <c r="D40" s="2413" t="s">
        <v>593</v>
      </c>
      <c r="E40" s="2246">
        <v>0</v>
      </c>
      <c r="F40" s="795">
        <v>0</v>
      </c>
      <c r="G40" s="795">
        <v>0</v>
      </c>
      <c r="H40" s="795">
        <v>0</v>
      </c>
      <c r="I40" s="795">
        <v>0</v>
      </c>
      <c r="J40" s="795">
        <v>0</v>
      </c>
      <c r="K40" s="795">
        <v>0</v>
      </c>
      <c r="L40" s="2246">
        <v>4</v>
      </c>
      <c r="M40" s="795">
        <v>0</v>
      </c>
      <c r="N40" s="795">
        <v>0</v>
      </c>
      <c r="O40" s="795">
        <v>0</v>
      </c>
      <c r="P40" s="795">
        <v>0</v>
      </c>
      <c r="Q40" s="795">
        <v>0</v>
      </c>
      <c r="R40" s="795">
        <v>0</v>
      </c>
      <c r="S40" s="2246">
        <v>0</v>
      </c>
      <c r="T40" s="795">
        <v>0</v>
      </c>
      <c r="U40" s="795">
        <v>0</v>
      </c>
      <c r="V40" s="795">
        <v>0</v>
      </c>
      <c r="W40" s="795">
        <v>0</v>
      </c>
      <c r="X40" s="795">
        <v>0</v>
      </c>
      <c r="Y40" s="795">
        <v>0</v>
      </c>
      <c r="Z40" s="2246">
        <f t="shared" si="34"/>
        <v>4</v>
      </c>
      <c r="AA40" s="3080"/>
      <c r="AB40" s="3094"/>
      <c r="AC40" s="3094"/>
      <c r="AD40" s="3094"/>
      <c r="AE40" s="3094"/>
      <c r="AF40" s="3095"/>
    </row>
    <row r="41" spans="1:33" s="339" customFormat="1" ht="25.5">
      <c r="A41" s="266"/>
      <c r="B41" s="1833">
        <v>2040207</v>
      </c>
      <c r="C41" s="1834">
        <v>0.04</v>
      </c>
      <c r="D41" s="2413" t="s">
        <v>594</v>
      </c>
      <c r="E41" s="2246">
        <v>0</v>
      </c>
      <c r="F41" s="795">
        <v>0</v>
      </c>
      <c r="G41" s="795">
        <v>0</v>
      </c>
      <c r="H41" s="795">
        <v>0</v>
      </c>
      <c r="I41" s="795">
        <v>0</v>
      </c>
      <c r="J41" s="795">
        <v>0</v>
      </c>
      <c r="K41" s="795">
        <v>0</v>
      </c>
      <c r="L41" s="2246">
        <v>0</v>
      </c>
      <c r="M41" s="795">
        <v>0</v>
      </c>
      <c r="N41" s="795">
        <v>0</v>
      </c>
      <c r="O41" s="795">
        <v>0</v>
      </c>
      <c r="P41" s="795">
        <v>0</v>
      </c>
      <c r="Q41" s="795">
        <v>0</v>
      </c>
      <c r="R41" s="795">
        <v>0</v>
      </c>
      <c r="S41" s="2246">
        <v>0</v>
      </c>
      <c r="T41" s="795">
        <v>0</v>
      </c>
      <c r="U41" s="795">
        <v>0</v>
      </c>
      <c r="V41" s="795">
        <v>0</v>
      </c>
      <c r="W41" s="795">
        <v>0</v>
      </c>
      <c r="X41" s="795">
        <v>0</v>
      </c>
      <c r="Y41" s="795">
        <v>0</v>
      </c>
      <c r="Z41" s="2246">
        <f t="shared" si="34"/>
        <v>0</v>
      </c>
      <c r="AA41" s="3080"/>
      <c r="AB41" s="3094"/>
      <c r="AC41" s="3094"/>
      <c r="AD41" s="3094"/>
      <c r="AE41" s="3094"/>
      <c r="AF41" s="3095"/>
    </row>
    <row r="42" spans="1:33" s="339" customFormat="1">
      <c r="A42" s="266"/>
      <c r="B42" s="1833">
        <v>2040208</v>
      </c>
      <c r="C42" s="1834">
        <v>0.04</v>
      </c>
      <c r="D42" s="2413" t="s">
        <v>595</v>
      </c>
      <c r="E42" s="2246">
        <v>16</v>
      </c>
      <c r="F42" s="795">
        <v>0</v>
      </c>
      <c r="G42" s="795">
        <v>0</v>
      </c>
      <c r="H42" s="795">
        <v>0</v>
      </c>
      <c r="I42" s="795">
        <v>0</v>
      </c>
      <c r="J42" s="795">
        <v>0</v>
      </c>
      <c r="K42" s="795">
        <v>0</v>
      </c>
      <c r="L42" s="2246">
        <v>0</v>
      </c>
      <c r="M42" s="795">
        <v>0</v>
      </c>
      <c r="N42" s="795">
        <v>0</v>
      </c>
      <c r="O42" s="795">
        <v>0</v>
      </c>
      <c r="P42" s="795">
        <v>0</v>
      </c>
      <c r="Q42" s="795">
        <v>0</v>
      </c>
      <c r="R42" s="795">
        <v>0</v>
      </c>
      <c r="S42" s="2246">
        <v>0</v>
      </c>
      <c r="T42" s="795">
        <v>0</v>
      </c>
      <c r="U42" s="795">
        <v>0</v>
      </c>
      <c r="V42" s="795">
        <v>0</v>
      </c>
      <c r="W42" s="795">
        <v>0</v>
      </c>
      <c r="X42" s="795">
        <v>0</v>
      </c>
      <c r="Y42" s="795">
        <v>0</v>
      </c>
      <c r="Z42" s="2246">
        <f t="shared" si="34"/>
        <v>16</v>
      </c>
      <c r="AA42" s="3080"/>
      <c r="AB42" s="3094"/>
      <c r="AC42" s="3094"/>
      <c r="AD42" s="3094"/>
      <c r="AE42" s="3094"/>
      <c r="AF42" s="3095"/>
    </row>
    <row r="43" spans="1:33" s="339" customFormat="1">
      <c r="A43" s="266"/>
      <c r="B43" s="1833">
        <v>20403</v>
      </c>
      <c r="C43" s="1834">
        <v>0.04</v>
      </c>
      <c r="D43" s="1822" t="s">
        <v>1524</v>
      </c>
      <c r="E43" s="2246">
        <v>72</v>
      </c>
      <c r="F43" s="795">
        <v>0</v>
      </c>
      <c r="G43" s="795">
        <v>0</v>
      </c>
      <c r="H43" s="795">
        <v>0</v>
      </c>
      <c r="I43" s="795">
        <v>0</v>
      </c>
      <c r="J43" s="795">
        <v>0</v>
      </c>
      <c r="K43" s="795">
        <v>0</v>
      </c>
      <c r="L43" s="2246">
        <v>2</v>
      </c>
      <c r="M43" s="795">
        <v>0</v>
      </c>
      <c r="N43" s="795">
        <v>0</v>
      </c>
      <c r="O43" s="795">
        <v>0</v>
      </c>
      <c r="P43" s="795">
        <v>0</v>
      </c>
      <c r="Q43" s="795">
        <v>0</v>
      </c>
      <c r="R43" s="795">
        <v>0</v>
      </c>
      <c r="S43" s="2246">
        <v>3</v>
      </c>
      <c r="T43" s="795">
        <v>0</v>
      </c>
      <c r="U43" s="795">
        <v>0</v>
      </c>
      <c r="V43" s="795">
        <v>0</v>
      </c>
      <c r="W43" s="795">
        <v>0</v>
      </c>
      <c r="X43" s="795">
        <v>0</v>
      </c>
      <c r="Y43" s="795">
        <v>0</v>
      </c>
      <c r="Z43" s="2246">
        <f t="shared" si="34"/>
        <v>77</v>
      </c>
      <c r="AA43" s="3080"/>
      <c r="AB43" s="3094"/>
      <c r="AC43" s="3094"/>
      <c r="AD43" s="3094"/>
      <c r="AE43" s="3094"/>
      <c r="AF43" s="3095"/>
    </row>
    <row r="44" spans="1:33" s="339" customFormat="1" ht="25.5">
      <c r="A44" s="266"/>
      <c r="B44" s="1833" t="s">
        <v>1525</v>
      </c>
      <c r="C44" s="1834">
        <v>0.04</v>
      </c>
      <c r="D44" s="1822" t="s">
        <v>1526</v>
      </c>
      <c r="E44" s="2246">
        <v>0</v>
      </c>
      <c r="F44" s="795">
        <v>0</v>
      </c>
      <c r="G44" s="795">
        <v>0</v>
      </c>
      <c r="H44" s="795">
        <v>0</v>
      </c>
      <c r="I44" s="795">
        <v>0</v>
      </c>
      <c r="J44" s="795">
        <v>0</v>
      </c>
      <c r="K44" s="795">
        <v>0</v>
      </c>
      <c r="L44" s="2246">
        <v>0</v>
      </c>
      <c r="M44" s="795">
        <v>0</v>
      </c>
      <c r="N44" s="795">
        <v>0</v>
      </c>
      <c r="O44" s="795">
        <v>0</v>
      </c>
      <c r="P44" s="795">
        <v>0</v>
      </c>
      <c r="Q44" s="795">
        <v>0</v>
      </c>
      <c r="R44" s="795">
        <v>0</v>
      </c>
      <c r="S44" s="2246">
        <v>0</v>
      </c>
      <c r="T44" s="795">
        <v>0</v>
      </c>
      <c r="U44" s="795">
        <v>0</v>
      </c>
      <c r="V44" s="795">
        <v>0</v>
      </c>
      <c r="W44" s="795">
        <v>0</v>
      </c>
      <c r="X44" s="795">
        <v>0</v>
      </c>
      <c r="Y44" s="795">
        <v>0</v>
      </c>
      <c r="Z44" s="2246">
        <f t="shared" si="34"/>
        <v>0</v>
      </c>
      <c r="AA44" s="3080"/>
      <c r="AB44" s="3094"/>
      <c r="AC44" s="3094"/>
      <c r="AD44" s="3094"/>
      <c r="AE44" s="3094"/>
      <c r="AF44" s="3095"/>
    </row>
    <row r="45" spans="1:33" s="339" customFormat="1">
      <c r="A45" s="308">
        <v>5</v>
      </c>
      <c r="B45" s="1831">
        <v>205</v>
      </c>
      <c r="C45" s="1831"/>
      <c r="D45" s="2411" t="s">
        <v>275</v>
      </c>
      <c r="E45" s="346">
        <f>SUM(E46:E49)</f>
        <v>98</v>
      </c>
      <c r="F45" s="2419">
        <f>SUM(F46:F49)</f>
        <v>0</v>
      </c>
      <c r="G45" s="257">
        <f>SUM(G46:G49)</f>
        <v>0</v>
      </c>
      <c r="H45" s="257">
        <f t="shared" ref="H45:K45" si="35">SUM(H46:H49)</f>
        <v>0</v>
      </c>
      <c r="I45" s="257">
        <f t="shared" si="35"/>
        <v>90</v>
      </c>
      <c r="J45" s="257">
        <f t="shared" si="35"/>
        <v>220</v>
      </c>
      <c r="K45" s="2036">
        <f t="shared" si="35"/>
        <v>0</v>
      </c>
      <c r="L45" s="346">
        <f>SUM(L46:L49)</f>
        <v>2</v>
      </c>
      <c r="M45" s="314">
        <f>SUM(M46:M49)</f>
        <v>0</v>
      </c>
      <c r="N45" s="312">
        <f>SUM(N46:N49)</f>
        <v>0</v>
      </c>
      <c r="O45" s="312">
        <f t="shared" ref="O45:R45" si="36">SUM(O46:O49)</f>
        <v>0</v>
      </c>
      <c r="P45" s="312">
        <f t="shared" si="36"/>
        <v>0</v>
      </c>
      <c r="Q45" s="312">
        <f t="shared" si="36"/>
        <v>0</v>
      </c>
      <c r="R45" s="2034">
        <f t="shared" si="36"/>
        <v>0</v>
      </c>
      <c r="S45" s="346">
        <f>SUM(S46:S49)</f>
        <v>22</v>
      </c>
      <c r="T45" s="2419">
        <f>SUM(T46:T49)</f>
        <v>0</v>
      </c>
      <c r="U45" s="257">
        <f>SUM(U46:U49)</f>
        <v>0</v>
      </c>
      <c r="V45" s="257">
        <f t="shared" ref="V45:Y45" si="37">SUM(V46:V49)</f>
        <v>0</v>
      </c>
      <c r="W45" s="257">
        <f t="shared" si="37"/>
        <v>0</v>
      </c>
      <c r="X45" s="257">
        <f t="shared" si="37"/>
        <v>10</v>
      </c>
      <c r="Y45" s="3043">
        <f t="shared" si="37"/>
        <v>50</v>
      </c>
      <c r="Z45" s="346">
        <f>SUM(Z46:Z49)</f>
        <v>122</v>
      </c>
      <c r="AA45" s="3080"/>
      <c r="AB45" s="3094"/>
      <c r="AC45" s="3094"/>
      <c r="AD45" s="3094"/>
      <c r="AE45" s="3094"/>
      <c r="AF45" s="3095"/>
    </row>
    <row r="46" spans="1:33" s="339" customFormat="1">
      <c r="A46" s="275"/>
      <c r="B46" s="1820">
        <v>20501</v>
      </c>
      <c r="C46" s="1821">
        <v>0.08</v>
      </c>
      <c r="D46" s="2416" t="s">
        <v>765</v>
      </c>
      <c r="E46" s="2246">
        <v>0</v>
      </c>
      <c r="F46" s="795">
        <v>0</v>
      </c>
      <c r="G46" s="795">
        <v>0</v>
      </c>
      <c r="H46" s="795">
        <v>0</v>
      </c>
      <c r="I46" s="782">
        <v>0</v>
      </c>
      <c r="J46" s="782">
        <v>0</v>
      </c>
      <c r="K46" s="2420">
        <v>0</v>
      </c>
      <c r="L46" s="2246">
        <v>0</v>
      </c>
      <c r="M46" s="795">
        <v>0</v>
      </c>
      <c r="N46" s="795">
        <v>0</v>
      </c>
      <c r="O46" s="795">
        <v>0</v>
      </c>
      <c r="P46" s="795">
        <v>0</v>
      </c>
      <c r="Q46" s="795">
        <v>0</v>
      </c>
      <c r="R46" s="2420">
        <v>0</v>
      </c>
      <c r="S46" s="2246">
        <v>0</v>
      </c>
      <c r="T46" s="795">
        <v>0</v>
      </c>
      <c r="U46" s="795">
        <v>0</v>
      </c>
      <c r="V46" s="795">
        <v>0</v>
      </c>
      <c r="W46" s="795">
        <v>0</v>
      </c>
      <c r="X46" s="795">
        <v>0</v>
      </c>
      <c r="Y46" s="795">
        <v>0</v>
      </c>
      <c r="Z46" s="2246">
        <f t="shared" ref="Z46:Z49" si="38">E46+L46+S46</f>
        <v>0</v>
      </c>
      <c r="AA46" s="3080"/>
      <c r="AB46" s="3094"/>
      <c r="AC46" s="3094"/>
      <c r="AD46" s="3094"/>
      <c r="AE46" s="3094"/>
      <c r="AF46" s="3095"/>
      <c r="AG46" s="307"/>
    </row>
    <row r="47" spans="1:33" s="339" customFormat="1">
      <c r="A47" s="275"/>
      <c r="B47" s="1820">
        <v>20502</v>
      </c>
      <c r="C47" s="1821">
        <v>0.1</v>
      </c>
      <c r="D47" s="2416" t="s">
        <v>583</v>
      </c>
      <c r="E47" s="2246">
        <v>96</v>
      </c>
      <c r="F47" s="795">
        <v>0</v>
      </c>
      <c r="G47" s="795">
        <v>0</v>
      </c>
      <c r="H47" s="795">
        <v>0</v>
      </c>
      <c r="I47" s="782">
        <v>0</v>
      </c>
      <c r="J47" s="782">
        <v>0</v>
      </c>
      <c r="K47" s="2420">
        <v>0</v>
      </c>
      <c r="L47" s="2246">
        <v>2</v>
      </c>
      <c r="M47" s="795">
        <v>0</v>
      </c>
      <c r="N47" s="795">
        <v>0</v>
      </c>
      <c r="O47" s="795">
        <v>0</v>
      </c>
      <c r="P47" s="795">
        <v>0</v>
      </c>
      <c r="Q47" s="795">
        <v>0</v>
      </c>
      <c r="R47" s="2420">
        <v>0</v>
      </c>
      <c r="S47" s="2246">
        <v>22</v>
      </c>
      <c r="T47" s="795">
        <v>0</v>
      </c>
      <c r="U47" s="782">
        <v>0</v>
      </c>
      <c r="V47" s="782">
        <v>0</v>
      </c>
      <c r="W47" s="782">
        <v>0</v>
      </c>
      <c r="X47" s="782">
        <v>10</v>
      </c>
      <c r="Y47" s="791">
        <v>50</v>
      </c>
      <c r="Z47" s="2246">
        <f t="shared" si="38"/>
        <v>120</v>
      </c>
      <c r="AA47" s="3080"/>
      <c r="AB47" s="3094"/>
      <c r="AC47" s="3094"/>
      <c r="AD47" s="3094"/>
      <c r="AE47" s="3094"/>
      <c r="AF47" s="3095"/>
      <c r="AG47" s="307"/>
    </row>
    <row r="48" spans="1:33" s="339" customFormat="1">
      <c r="A48" s="275"/>
      <c r="B48" s="1820">
        <v>20503</v>
      </c>
      <c r="C48" s="1821">
        <v>0.1</v>
      </c>
      <c r="D48" s="2412" t="s">
        <v>584</v>
      </c>
      <c r="E48" s="2246">
        <v>0</v>
      </c>
      <c r="F48" s="795">
        <v>0</v>
      </c>
      <c r="G48" s="795">
        <v>0</v>
      </c>
      <c r="H48" s="795">
        <v>0</v>
      </c>
      <c r="I48" s="782">
        <v>90</v>
      </c>
      <c r="J48" s="782">
        <v>220</v>
      </c>
      <c r="K48" s="2420">
        <v>0</v>
      </c>
      <c r="L48" s="2246">
        <v>0</v>
      </c>
      <c r="M48" s="795">
        <v>0</v>
      </c>
      <c r="N48" s="795">
        <v>0</v>
      </c>
      <c r="O48" s="795">
        <v>0</v>
      </c>
      <c r="P48" s="795">
        <v>0</v>
      </c>
      <c r="Q48" s="795">
        <v>0</v>
      </c>
      <c r="R48" s="2420">
        <v>0</v>
      </c>
      <c r="S48" s="2246">
        <v>0</v>
      </c>
      <c r="T48" s="795">
        <v>0</v>
      </c>
      <c r="U48" s="782">
        <v>0</v>
      </c>
      <c r="V48" s="782">
        <v>0</v>
      </c>
      <c r="W48" s="782">
        <v>0</v>
      </c>
      <c r="X48" s="782">
        <v>0</v>
      </c>
      <c r="Y48" s="791">
        <v>0</v>
      </c>
      <c r="Z48" s="2246">
        <f t="shared" si="38"/>
        <v>0</v>
      </c>
      <c r="AA48" s="3080"/>
      <c r="AB48" s="3094"/>
      <c r="AC48" s="3094"/>
      <c r="AD48" s="3094"/>
      <c r="AE48" s="3094"/>
      <c r="AF48" s="3095"/>
      <c r="AG48" s="307"/>
    </row>
    <row r="49" spans="1:33" s="339" customFormat="1">
      <c r="A49" s="275"/>
      <c r="B49" s="1820">
        <v>20504</v>
      </c>
      <c r="C49" s="1821">
        <v>0.1</v>
      </c>
      <c r="D49" s="2412" t="s">
        <v>759</v>
      </c>
      <c r="E49" s="2246">
        <v>2</v>
      </c>
      <c r="F49" s="795">
        <v>0</v>
      </c>
      <c r="G49" s="795">
        <v>0</v>
      </c>
      <c r="H49" s="795">
        <v>0</v>
      </c>
      <c r="I49" s="782">
        <v>0</v>
      </c>
      <c r="J49" s="782">
        <v>0</v>
      </c>
      <c r="K49" s="2420">
        <v>0</v>
      </c>
      <c r="L49" s="2246">
        <v>0</v>
      </c>
      <c r="M49" s="795">
        <v>0</v>
      </c>
      <c r="N49" s="795">
        <v>0</v>
      </c>
      <c r="O49" s="795">
        <v>0</v>
      </c>
      <c r="P49" s="795">
        <v>0</v>
      </c>
      <c r="Q49" s="795">
        <v>0</v>
      </c>
      <c r="R49" s="2420">
        <v>0</v>
      </c>
      <c r="S49" s="2246">
        <v>0</v>
      </c>
      <c r="T49" s="795">
        <v>0</v>
      </c>
      <c r="U49" s="782">
        <v>0</v>
      </c>
      <c r="V49" s="782">
        <v>0</v>
      </c>
      <c r="W49" s="782">
        <v>0</v>
      </c>
      <c r="X49" s="782">
        <v>0</v>
      </c>
      <c r="Y49" s="791">
        <v>0</v>
      </c>
      <c r="Z49" s="2246">
        <f t="shared" si="38"/>
        <v>2</v>
      </c>
      <c r="AA49" s="3080"/>
      <c r="AB49" s="3094"/>
      <c r="AC49" s="3094"/>
      <c r="AD49" s="3094"/>
      <c r="AE49" s="3094"/>
      <c r="AF49" s="3095"/>
      <c r="AG49" s="307"/>
    </row>
    <row r="50" spans="1:33" s="339" customFormat="1">
      <c r="A50" s="323">
        <v>6</v>
      </c>
      <c r="B50" s="1844">
        <v>206</v>
      </c>
      <c r="C50" s="1845">
        <v>0.1</v>
      </c>
      <c r="D50" s="2414" t="s">
        <v>564</v>
      </c>
      <c r="E50" s="346">
        <f>SUM(E51:E53)</f>
        <v>41</v>
      </c>
      <c r="F50" s="2419">
        <f>SUM(F51:F53)</f>
        <v>0</v>
      </c>
      <c r="G50" s="257">
        <f t="shared" ref="G50:Z50" si="39">SUM(G51:G53)</f>
        <v>0</v>
      </c>
      <c r="H50" s="257">
        <f t="shared" si="39"/>
        <v>0</v>
      </c>
      <c r="I50" s="257">
        <f>SUM(I51:I53)</f>
        <v>0</v>
      </c>
      <c r="J50" s="257">
        <f t="shared" si="39"/>
        <v>10</v>
      </c>
      <c r="K50" s="2036">
        <f t="shared" si="39"/>
        <v>110</v>
      </c>
      <c r="L50" s="346">
        <f t="shared" si="39"/>
        <v>0</v>
      </c>
      <c r="M50" s="314">
        <f t="shared" si="39"/>
        <v>0</v>
      </c>
      <c r="N50" s="312">
        <f t="shared" si="39"/>
        <v>0</v>
      </c>
      <c r="O50" s="312">
        <f t="shared" si="39"/>
        <v>0</v>
      </c>
      <c r="P50" s="312">
        <f t="shared" si="39"/>
        <v>0</v>
      </c>
      <c r="Q50" s="312">
        <f t="shared" si="39"/>
        <v>0</v>
      </c>
      <c r="R50" s="2034">
        <f t="shared" si="39"/>
        <v>0</v>
      </c>
      <c r="S50" s="346">
        <f t="shared" si="39"/>
        <v>3</v>
      </c>
      <c r="T50" s="314">
        <f t="shared" si="39"/>
        <v>0</v>
      </c>
      <c r="U50" s="312">
        <f t="shared" si="39"/>
        <v>20</v>
      </c>
      <c r="V50" s="312">
        <f t="shared" si="39"/>
        <v>10</v>
      </c>
      <c r="W50" s="312">
        <f t="shared" si="39"/>
        <v>0</v>
      </c>
      <c r="X50" s="312">
        <f t="shared" si="39"/>
        <v>0</v>
      </c>
      <c r="Y50" s="313">
        <f t="shared" si="39"/>
        <v>0</v>
      </c>
      <c r="Z50" s="346">
        <f t="shared" si="39"/>
        <v>44</v>
      </c>
      <c r="AA50" s="3080"/>
      <c r="AB50" s="3094"/>
      <c r="AC50" s="3094"/>
      <c r="AD50" s="3094"/>
      <c r="AE50" s="3094"/>
      <c r="AF50" s="3095"/>
    </row>
    <row r="51" spans="1:33" s="339" customFormat="1">
      <c r="A51" s="323"/>
      <c r="B51" s="1820">
        <v>20601</v>
      </c>
      <c r="C51" s="1821">
        <v>0.1</v>
      </c>
      <c r="D51" s="2412" t="s">
        <v>766</v>
      </c>
      <c r="E51" s="2246">
        <v>39</v>
      </c>
      <c r="F51" s="795">
        <v>0</v>
      </c>
      <c r="G51" s="782">
        <v>0</v>
      </c>
      <c r="H51" s="782">
        <v>0</v>
      </c>
      <c r="I51" s="782">
        <v>0</v>
      </c>
      <c r="J51" s="782">
        <v>0</v>
      </c>
      <c r="K51" s="2420">
        <v>70</v>
      </c>
      <c r="L51" s="2246">
        <v>0</v>
      </c>
      <c r="M51" s="795">
        <v>0</v>
      </c>
      <c r="N51" s="795">
        <v>0</v>
      </c>
      <c r="O51" s="795">
        <v>0</v>
      </c>
      <c r="P51" s="795">
        <v>0</v>
      </c>
      <c r="Q51" s="795">
        <v>0</v>
      </c>
      <c r="R51" s="795">
        <v>0</v>
      </c>
      <c r="S51" s="2246">
        <v>3</v>
      </c>
      <c r="T51" s="795">
        <v>0</v>
      </c>
      <c r="U51" s="782">
        <v>10</v>
      </c>
      <c r="V51" s="782">
        <v>10</v>
      </c>
      <c r="W51" s="782">
        <v>0</v>
      </c>
      <c r="X51" s="782">
        <v>0</v>
      </c>
      <c r="Y51" s="782">
        <v>0</v>
      </c>
      <c r="Z51" s="2246">
        <f t="shared" ref="Z51:Z59" si="40">E51+L51+S51</f>
        <v>42</v>
      </c>
      <c r="AA51" s="3080"/>
      <c r="AB51" s="3094"/>
      <c r="AC51" s="3094"/>
      <c r="AD51" s="3094"/>
      <c r="AE51" s="3094"/>
      <c r="AF51" s="3095"/>
      <c r="AG51" s="307"/>
    </row>
    <row r="52" spans="1:33" s="339" customFormat="1">
      <c r="A52" s="323"/>
      <c r="B52" s="1820">
        <v>20602</v>
      </c>
      <c r="C52" s="1821">
        <v>0.1</v>
      </c>
      <c r="D52" s="2412" t="s">
        <v>607</v>
      </c>
      <c r="E52" s="2246">
        <v>2</v>
      </c>
      <c r="F52" s="795">
        <v>0</v>
      </c>
      <c r="G52" s="782">
        <v>0</v>
      </c>
      <c r="H52" s="782">
        <v>0</v>
      </c>
      <c r="I52" s="782">
        <v>0</v>
      </c>
      <c r="J52" s="782">
        <v>10</v>
      </c>
      <c r="K52" s="2420">
        <v>40</v>
      </c>
      <c r="L52" s="2246">
        <v>0</v>
      </c>
      <c r="M52" s="795">
        <v>0</v>
      </c>
      <c r="N52" s="795">
        <v>0</v>
      </c>
      <c r="O52" s="795">
        <v>0</v>
      </c>
      <c r="P52" s="795">
        <v>0</v>
      </c>
      <c r="Q52" s="795">
        <v>0</v>
      </c>
      <c r="R52" s="795">
        <v>0</v>
      </c>
      <c r="S52" s="2246">
        <v>0</v>
      </c>
      <c r="T52" s="795">
        <v>0</v>
      </c>
      <c r="U52" s="782">
        <v>10</v>
      </c>
      <c r="V52" s="782">
        <v>0</v>
      </c>
      <c r="W52" s="782">
        <v>0</v>
      </c>
      <c r="X52" s="782">
        <v>0</v>
      </c>
      <c r="Y52" s="782">
        <v>0</v>
      </c>
      <c r="Z52" s="2246">
        <f t="shared" si="40"/>
        <v>2</v>
      </c>
      <c r="AA52" s="3080"/>
      <c r="AB52" s="3094"/>
      <c r="AC52" s="3094"/>
      <c r="AD52" s="3094"/>
      <c r="AE52" s="3094"/>
      <c r="AF52" s="3095"/>
      <c r="AG52" s="307"/>
    </row>
    <row r="53" spans="1:33" s="339" customFormat="1">
      <c r="A53" s="323"/>
      <c r="B53" s="1820">
        <v>20603</v>
      </c>
      <c r="C53" s="1821">
        <v>0.5</v>
      </c>
      <c r="D53" s="2412" t="s">
        <v>1441</v>
      </c>
      <c r="E53" s="2246">
        <v>0</v>
      </c>
      <c r="F53" s="795">
        <v>0</v>
      </c>
      <c r="G53" s="782">
        <v>0</v>
      </c>
      <c r="H53" s="782">
        <v>0</v>
      </c>
      <c r="I53" s="782">
        <v>0</v>
      </c>
      <c r="J53" s="782">
        <v>0</v>
      </c>
      <c r="K53" s="782">
        <v>0</v>
      </c>
      <c r="L53" s="2246">
        <v>0</v>
      </c>
      <c r="M53" s="795">
        <v>0</v>
      </c>
      <c r="N53" s="795">
        <v>0</v>
      </c>
      <c r="O53" s="795">
        <v>0</v>
      </c>
      <c r="P53" s="795">
        <v>0</v>
      </c>
      <c r="Q53" s="795">
        <v>0</v>
      </c>
      <c r="R53" s="795">
        <v>0</v>
      </c>
      <c r="S53" s="2246">
        <v>0</v>
      </c>
      <c r="T53" s="795">
        <v>0</v>
      </c>
      <c r="U53" s="782">
        <v>0</v>
      </c>
      <c r="V53" s="782">
        <v>0</v>
      </c>
      <c r="W53" s="782">
        <v>0</v>
      </c>
      <c r="X53" s="782">
        <v>0</v>
      </c>
      <c r="Y53" s="782">
        <v>0</v>
      </c>
      <c r="Z53" s="2246">
        <f t="shared" si="40"/>
        <v>0</v>
      </c>
      <c r="AA53" s="3080"/>
      <c r="AB53" s="3094"/>
      <c r="AC53" s="3094"/>
      <c r="AD53" s="3094"/>
      <c r="AE53" s="3094"/>
      <c r="AF53" s="3095"/>
      <c r="AG53" s="307"/>
    </row>
    <row r="54" spans="1:33" s="262" customFormat="1">
      <c r="A54" s="323">
        <v>7</v>
      </c>
      <c r="B54" s="1844">
        <v>208</v>
      </c>
      <c r="C54" s="1845">
        <v>0.2</v>
      </c>
      <c r="D54" s="2414" t="s">
        <v>585</v>
      </c>
      <c r="E54" s="2246">
        <v>13</v>
      </c>
      <c r="F54" s="795">
        <v>0</v>
      </c>
      <c r="G54" s="782">
        <v>0</v>
      </c>
      <c r="H54" s="782">
        <v>70</v>
      </c>
      <c r="I54" s="782">
        <v>35</v>
      </c>
      <c r="J54" s="782">
        <v>0</v>
      </c>
      <c r="K54" s="782">
        <v>0</v>
      </c>
      <c r="L54" s="2246">
        <v>0</v>
      </c>
      <c r="M54" s="795">
        <v>5</v>
      </c>
      <c r="N54" s="782">
        <v>5</v>
      </c>
      <c r="O54" s="782">
        <v>0</v>
      </c>
      <c r="P54" s="782">
        <v>0</v>
      </c>
      <c r="Q54" s="782">
        <v>0</v>
      </c>
      <c r="R54" s="782">
        <v>0</v>
      </c>
      <c r="S54" s="2246">
        <v>2</v>
      </c>
      <c r="T54" s="795">
        <v>0</v>
      </c>
      <c r="U54" s="782">
        <v>0</v>
      </c>
      <c r="V54" s="782">
        <v>0</v>
      </c>
      <c r="W54" s="782">
        <v>0</v>
      </c>
      <c r="X54" s="782">
        <v>0</v>
      </c>
      <c r="Y54" s="782">
        <v>0</v>
      </c>
      <c r="Z54" s="2246">
        <f t="shared" si="40"/>
        <v>15</v>
      </c>
      <c r="AA54" s="3080"/>
      <c r="AB54" s="3094"/>
      <c r="AC54" s="3094"/>
      <c r="AD54" s="3094"/>
      <c r="AE54" s="3094"/>
      <c r="AF54" s="3095"/>
      <c r="AG54" s="307"/>
    </row>
    <row r="55" spans="1:33" s="262" customFormat="1">
      <c r="A55" s="323">
        <v>8</v>
      </c>
      <c r="B55" s="1844">
        <v>209</v>
      </c>
      <c r="C55" s="1845">
        <v>0.1</v>
      </c>
      <c r="D55" s="2414" t="s">
        <v>276</v>
      </c>
      <c r="E55" s="2246">
        <v>0</v>
      </c>
      <c r="F55" s="795">
        <v>0</v>
      </c>
      <c r="G55" s="782">
        <v>0</v>
      </c>
      <c r="H55" s="782"/>
      <c r="I55" s="782"/>
      <c r="J55" s="782">
        <v>0</v>
      </c>
      <c r="K55" s="782">
        <v>0</v>
      </c>
      <c r="L55" s="2246">
        <v>0</v>
      </c>
      <c r="M55" s="795">
        <v>0</v>
      </c>
      <c r="N55" s="795">
        <v>0</v>
      </c>
      <c r="O55" s="782">
        <v>0</v>
      </c>
      <c r="P55" s="782">
        <v>0</v>
      </c>
      <c r="Q55" s="782">
        <v>0</v>
      </c>
      <c r="R55" s="782">
        <v>0</v>
      </c>
      <c r="S55" s="2246">
        <v>0</v>
      </c>
      <c r="T55" s="795">
        <v>0</v>
      </c>
      <c r="U55" s="782">
        <v>0</v>
      </c>
      <c r="V55" s="782">
        <v>0</v>
      </c>
      <c r="W55" s="782">
        <v>0</v>
      </c>
      <c r="X55" s="782">
        <v>0</v>
      </c>
      <c r="Y55" s="782">
        <v>0</v>
      </c>
      <c r="Z55" s="2246">
        <f t="shared" si="40"/>
        <v>0</v>
      </c>
      <c r="AA55" s="3080"/>
      <c r="AB55" s="3094"/>
      <c r="AC55" s="3094"/>
      <c r="AD55" s="3094"/>
      <c r="AE55" s="3094"/>
      <c r="AF55" s="3095"/>
      <c r="AG55" s="307"/>
    </row>
    <row r="56" spans="1:33" s="262" customFormat="1">
      <c r="A56" s="323">
        <v>9</v>
      </c>
      <c r="B56" s="1844">
        <v>212</v>
      </c>
      <c r="C56" s="1845">
        <v>0.2</v>
      </c>
      <c r="D56" s="2417" t="s">
        <v>277</v>
      </c>
      <c r="E56" s="2246">
        <v>2</v>
      </c>
      <c r="F56" s="795">
        <v>0</v>
      </c>
      <c r="G56" s="782">
        <v>20</v>
      </c>
      <c r="H56" s="782">
        <v>5</v>
      </c>
      <c r="I56" s="782">
        <v>5</v>
      </c>
      <c r="J56" s="782">
        <v>0</v>
      </c>
      <c r="K56" s="782">
        <v>0</v>
      </c>
      <c r="L56" s="2246">
        <v>0</v>
      </c>
      <c r="M56" s="795">
        <v>0</v>
      </c>
      <c r="N56" s="795">
        <v>0</v>
      </c>
      <c r="O56" s="782">
        <v>0</v>
      </c>
      <c r="P56" s="782">
        <v>0</v>
      </c>
      <c r="Q56" s="782">
        <v>0</v>
      </c>
      <c r="R56" s="782">
        <v>0</v>
      </c>
      <c r="S56" s="2246">
        <v>0</v>
      </c>
      <c r="T56" s="795">
        <v>5</v>
      </c>
      <c r="U56" s="782">
        <v>5</v>
      </c>
      <c r="V56" s="782">
        <v>0</v>
      </c>
      <c r="W56" s="782">
        <v>0</v>
      </c>
      <c r="X56" s="782">
        <v>0</v>
      </c>
      <c r="Y56" s="782">
        <v>0</v>
      </c>
      <c r="Z56" s="2246">
        <f t="shared" si="40"/>
        <v>2</v>
      </c>
      <c r="AA56" s="3080"/>
      <c r="AB56" s="3094"/>
      <c r="AC56" s="3094"/>
      <c r="AD56" s="3094"/>
      <c r="AE56" s="3094"/>
      <c r="AF56" s="3095"/>
      <c r="AG56" s="307"/>
    </row>
    <row r="57" spans="1:33" s="262" customFormat="1">
      <c r="A57" s="323">
        <v>10</v>
      </c>
      <c r="B57" s="1844">
        <v>213</v>
      </c>
      <c r="C57" s="1845">
        <v>0.2</v>
      </c>
      <c r="D57" s="2411" t="s">
        <v>278</v>
      </c>
      <c r="E57" s="2246">
        <v>0</v>
      </c>
      <c r="F57" s="795">
        <v>0</v>
      </c>
      <c r="G57" s="782">
        <v>0</v>
      </c>
      <c r="H57" s="782">
        <v>0</v>
      </c>
      <c r="I57" s="782">
        <v>0</v>
      </c>
      <c r="J57" s="782">
        <v>0</v>
      </c>
      <c r="K57" s="782">
        <v>0</v>
      </c>
      <c r="L57" s="2246">
        <v>0</v>
      </c>
      <c r="M57" s="795">
        <v>0</v>
      </c>
      <c r="N57" s="795">
        <v>0</v>
      </c>
      <c r="O57" s="782">
        <v>0</v>
      </c>
      <c r="P57" s="782">
        <v>0</v>
      </c>
      <c r="Q57" s="782">
        <v>0</v>
      </c>
      <c r="R57" s="782">
        <v>0</v>
      </c>
      <c r="S57" s="2246">
        <v>0</v>
      </c>
      <c r="T57" s="795">
        <v>0</v>
      </c>
      <c r="U57" s="795">
        <v>0</v>
      </c>
      <c r="V57" s="795">
        <v>0</v>
      </c>
      <c r="W57" s="782">
        <v>0</v>
      </c>
      <c r="X57" s="782">
        <v>0</v>
      </c>
      <c r="Y57" s="782">
        <v>0</v>
      </c>
      <c r="Z57" s="2246">
        <f t="shared" si="40"/>
        <v>0</v>
      </c>
      <c r="AA57" s="3080"/>
      <c r="AB57" s="3094"/>
      <c r="AC57" s="3094"/>
      <c r="AD57" s="3094"/>
      <c r="AE57" s="3094"/>
      <c r="AF57" s="3095"/>
      <c r="AG57" s="307"/>
    </row>
    <row r="58" spans="1:33" s="262" customFormat="1" ht="25.5">
      <c r="A58" s="323">
        <v>11</v>
      </c>
      <c r="B58" s="1844">
        <v>215</v>
      </c>
      <c r="C58" s="1845">
        <v>0.2</v>
      </c>
      <c r="D58" s="2411" t="s">
        <v>911</v>
      </c>
      <c r="E58" s="2246">
        <v>0</v>
      </c>
      <c r="F58" s="795">
        <v>0</v>
      </c>
      <c r="G58" s="782">
        <v>0</v>
      </c>
      <c r="H58" s="782">
        <v>0</v>
      </c>
      <c r="I58" s="782">
        <v>0</v>
      </c>
      <c r="J58" s="782">
        <v>0</v>
      </c>
      <c r="K58" s="782">
        <v>0</v>
      </c>
      <c r="L58" s="2246">
        <v>0</v>
      </c>
      <c r="M58" s="795">
        <v>0</v>
      </c>
      <c r="N58" s="795">
        <v>0</v>
      </c>
      <c r="O58" s="782">
        <v>0</v>
      </c>
      <c r="P58" s="782">
        <v>0</v>
      </c>
      <c r="Q58" s="782">
        <v>0</v>
      </c>
      <c r="R58" s="782">
        <v>0</v>
      </c>
      <c r="S58" s="2246">
        <v>0</v>
      </c>
      <c r="T58" s="795">
        <v>0</v>
      </c>
      <c r="U58" s="795">
        <v>0</v>
      </c>
      <c r="V58" s="795">
        <v>0</v>
      </c>
      <c r="W58" s="782">
        <v>0</v>
      </c>
      <c r="X58" s="782">
        <v>0</v>
      </c>
      <c r="Y58" s="782">
        <v>0</v>
      </c>
      <c r="Z58" s="2246">
        <f t="shared" si="40"/>
        <v>0</v>
      </c>
      <c r="AA58" s="3080"/>
      <c r="AB58" s="3094"/>
      <c r="AC58" s="3094"/>
      <c r="AD58" s="3094"/>
      <c r="AE58" s="3094"/>
      <c r="AF58" s="3095"/>
      <c r="AG58" s="307"/>
    </row>
    <row r="59" spans="1:33" s="262" customFormat="1" ht="13.5" thickBot="1">
      <c r="A59" s="323">
        <v>12</v>
      </c>
      <c r="B59" s="334">
        <v>219</v>
      </c>
      <c r="C59" s="335">
        <v>0.1</v>
      </c>
      <c r="D59" s="2418" t="s">
        <v>279</v>
      </c>
      <c r="E59" s="2247">
        <v>10</v>
      </c>
      <c r="F59" s="795">
        <v>0</v>
      </c>
      <c r="G59" s="782">
        <v>0</v>
      </c>
      <c r="H59" s="782">
        <v>0</v>
      </c>
      <c r="I59" s="782">
        <v>0</v>
      </c>
      <c r="J59" s="782">
        <v>10</v>
      </c>
      <c r="K59" s="2420">
        <v>160</v>
      </c>
      <c r="L59" s="2247">
        <v>0</v>
      </c>
      <c r="M59" s="795">
        <v>0</v>
      </c>
      <c r="N59" s="795">
        <v>0</v>
      </c>
      <c r="O59" s="782">
        <v>0</v>
      </c>
      <c r="P59" s="782">
        <v>0</v>
      </c>
      <c r="Q59" s="782">
        <v>0</v>
      </c>
      <c r="R59" s="782">
        <v>0</v>
      </c>
      <c r="S59" s="2247">
        <v>0</v>
      </c>
      <c r="T59" s="795">
        <v>0</v>
      </c>
      <c r="U59" s="795">
        <v>0</v>
      </c>
      <c r="V59" s="795">
        <v>0</v>
      </c>
      <c r="W59" s="782">
        <v>0</v>
      </c>
      <c r="X59" s="782">
        <v>0</v>
      </c>
      <c r="Y59" s="782">
        <v>0</v>
      </c>
      <c r="Z59" s="2246">
        <f t="shared" si="40"/>
        <v>10</v>
      </c>
      <c r="AA59" s="3096"/>
      <c r="AB59" s="3097"/>
      <c r="AC59" s="3097"/>
      <c r="AD59" s="3097"/>
      <c r="AE59" s="3097"/>
      <c r="AF59" s="3098"/>
      <c r="AG59" s="307"/>
    </row>
    <row r="60" spans="1:33" s="298" customFormat="1" ht="15" thickBot="1">
      <c r="A60" s="1827" t="s">
        <v>269</v>
      </c>
      <c r="B60" s="258"/>
      <c r="C60" s="258"/>
      <c r="D60" s="248" t="s">
        <v>281</v>
      </c>
      <c r="E60" s="340">
        <f t="shared" ref="E60:AF60" si="41">E61+E64+E67+E79+E94+E99+SUM(E103:E108)</f>
        <v>18.739999999999998</v>
      </c>
      <c r="F60" s="570">
        <f t="shared" si="41"/>
        <v>72.05</v>
      </c>
      <c r="G60" s="250">
        <f t="shared" si="41"/>
        <v>68.05</v>
      </c>
      <c r="H60" s="250">
        <f t="shared" si="41"/>
        <v>49.05</v>
      </c>
      <c r="I60" s="250">
        <f t="shared" si="41"/>
        <v>18.050000000000011</v>
      </c>
      <c r="J60" s="250">
        <f t="shared" si="41"/>
        <v>-5.9499999999999922</v>
      </c>
      <c r="K60" s="2037">
        <f t="shared" si="41"/>
        <v>-32.949999999999996</v>
      </c>
      <c r="L60" s="341">
        <f t="shared" si="41"/>
        <v>0</v>
      </c>
      <c r="M60" s="249">
        <f t="shared" si="41"/>
        <v>-0.55000000000000004</v>
      </c>
      <c r="N60" s="250">
        <f t="shared" si="41"/>
        <v>-1.55</v>
      </c>
      <c r="O60" s="250">
        <f t="shared" si="41"/>
        <v>-1.55</v>
      </c>
      <c r="P60" s="250">
        <f t="shared" si="41"/>
        <v>-3.55</v>
      </c>
      <c r="Q60" s="250">
        <f t="shared" si="41"/>
        <v>-6.55</v>
      </c>
      <c r="R60" s="251">
        <f t="shared" si="41"/>
        <v>-6.55</v>
      </c>
      <c r="S60" s="341">
        <f t="shared" si="41"/>
        <v>0</v>
      </c>
      <c r="T60" s="252">
        <f t="shared" si="41"/>
        <v>7.3200000000000012</v>
      </c>
      <c r="U60" s="250">
        <f t="shared" si="41"/>
        <v>4.32</v>
      </c>
      <c r="V60" s="250">
        <f t="shared" si="41"/>
        <v>2.3200000000000007</v>
      </c>
      <c r="W60" s="250">
        <f t="shared" si="41"/>
        <v>0.32000000000000073</v>
      </c>
      <c r="X60" s="250">
        <f t="shared" si="41"/>
        <v>-6.68</v>
      </c>
      <c r="Y60" s="251">
        <f t="shared" si="41"/>
        <v>-11.679999999999998</v>
      </c>
      <c r="Z60" s="341">
        <f t="shared" si="41"/>
        <v>18.739999999999998</v>
      </c>
      <c r="AA60" s="252">
        <f t="shared" si="41"/>
        <v>0</v>
      </c>
      <c r="AB60" s="250">
        <f t="shared" si="41"/>
        <v>0</v>
      </c>
      <c r="AC60" s="250">
        <f t="shared" si="41"/>
        <v>0</v>
      </c>
      <c r="AD60" s="250">
        <f t="shared" si="41"/>
        <v>0</v>
      </c>
      <c r="AE60" s="250">
        <f t="shared" si="41"/>
        <v>0</v>
      </c>
      <c r="AF60" s="251">
        <f t="shared" si="41"/>
        <v>0</v>
      </c>
      <c r="AG60" s="307"/>
    </row>
    <row r="61" spans="1:33" s="262" customFormat="1">
      <c r="A61" s="300">
        <v>1</v>
      </c>
      <c r="B61" s="300">
        <v>201</v>
      </c>
      <c r="C61" s="301">
        <v>0</v>
      </c>
      <c r="D61" s="302" t="s">
        <v>280</v>
      </c>
      <c r="E61" s="589">
        <f>SUM(E62:E63)</f>
        <v>0</v>
      </c>
      <c r="F61" s="576">
        <f>SUM(F62:F63)</f>
        <v>0</v>
      </c>
      <c r="G61" s="304">
        <f t="shared" ref="G61:J61" si="42">SUM(G62:G63)</f>
        <v>0</v>
      </c>
      <c r="H61" s="304">
        <f t="shared" si="42"/>
        <v>0</v>
      </c>
      <c r="I61" s="304">
        <f t="shared" si="42"/>
        <v>0</v>
      </c>
      <c r="J61" s="304">
        <f t="shared" si="42"/>
        <v>0</v>
      </c>
      <c r="K61" s="2033">
        <f>SUM(K62:K63)</f>
        <v>0</v>
      </c>
      <c r="L61" s="590">
        <f>SUM(L62:L63)</f>
        <v>0</v>
      </c>
      <c r="M61" s="303">
        <f>SUM(M62:M63)</f>
        <v>0</v>
      </c>
      <c r="N61" s="304">
        <f t="shared" ref="N61:Q61" si="43">SUM(N62:N63)</f>
        <v>0</v>
      </c>
      <c r="O61" s="304">
        <f t="shared" si="43"/>
        <v>0</v>
      </c>
      <c r="P61" s="304">
        <f t="shared" si="43"/>
        <v>0</v>
      </c>
      <c r="Q61" s="304">
        <f t="shared" si="43"/>
        <v>0</v>
      </c>
      <c r="R61" s="305">
        <f>SUM(R62:R63)</f>
        <v>0</v>
      </c>
      <c r="S61" s="590">
        <f>SUM(S62:S63)</f>
        <v>0</v>
      </c>
      <c r="T61" s="303">
        <f>SUM(T62:T63)</f>
        <v>0</v>
      </c>
      <c r="U61" s="304">
        <f t="shared" ref="U61:X61" si="44">SUM(U62:U63)</f>
        <v>0</v>
      </c>
      <c r="V61" s="304">
        <f t="shared" si="44"/>
        <v>0</v>
      </c>
      <c r="W61" s="304">
        <f t="shared" si="44"/>
        <v>0</v>
      </c>
      <c r="X61" s="304">
        <f t="shared" si="44"/>
        <v>0</v>
      </c>
      <c r="Y61" s="305">
        <f>SUM(Y62:Y63)</f>
        <v>0</v>
      </c>
      <c r="Z61" s="590">
        <f>SUM(Z62:Z63)</f>
        <v>0</v>
      </c>
      <c r="AA61" s="3081"/>
      <c r="AB61" s="3092"/>
      <c r="AC61" s="3092"/>
      <c r="AD61" s="3092"/>
      <c r="AE61" s="3092"/>
      <c r="AF61" s="3093"/>
      <c r="AG61" s="306"/>
    </row>
    <row r="62" spans="1:33" s="294" customFormat="1">
      <c r="A62" s="263"/>
      <c r="B62" s="263">
        <v>20101</v>
      </c>
      <c r="C62" s="264">
        <v>0</v>
      </c>
      <c r="D62" s="607" t="s">
        <v>758</v>
      </c>
      <c r="E62" s="2246">
        <v>0</v>
      </c>
      <c r="F62" s="605">
        <f>($E13*$C62)-(F13*$C62)</f>
        <v>0</v>
      </c>
      <c r="G62" s="587">
        <f t="shared" ref="G62:K63" si="45">F62-(G13*$C62)</f>
        <v>0</v>
      </c>
      <c r="H62" s="270">
        <f t="shared" si="45"/>
        <v>0</v>
      </c>
      <c r="I62" s="270">
        <f t="shared" si="45"/>
        <v>0</v>
      </c>
      <c r="J62" s="270">
        <f t="shared" si="45"/>
        <v>0</v>
      </c>
      <c r="K62" s="333">
        <f t="shared" si="45"/>
        <v>0</v>
      </c>
      <c r="L62" s="2246">
        <v>0</v>
      </c>
      <c r="M62" s="514">
        <f>($L13*$C62)-(M13*$C62)</f>
        <v>0</v>
      </c>
      <c r="N62" s="587">
        <f t="shared" ref="N62:R63" si="46">M62-(N13*$C62)</f>
        <v>0</v>
      </c>
      <c r="O62" s="270">
        <f t="shared" si="46"/>
        <v>0</v>
      </c>
      <c r="P62" s="270">
        <f t="shared" si="46"/>
        <v>0</v>
      </c>
      <c r="Q62" s="270">
        <f t="shared" si="46"/>
        <v>0</v>
      </c>
      <c r="R62" s="271">
        <f t="shared" si="46"/>
        <v>0</v>
      </c>
      <c r="S62" s="2246">
        <v>0</v>
      </c>
      <c r="T62" s="514">
        <f>($S13*$C62)-(T13*$C62)</f>
        <v>0</v>
      </c>
      <c r="U62" s="587">
        <f t="shared" ref="U62:Y63" si="47">T62-(U13*$C62)</f>
        <v>0</v>
      </c>
      <c r="V62" s="270">
        <f t="shared" si="47"/>
        <v>0</v>
      </c>
      <c r="W62" s="270">
        <f t="shared" si="47"/>
        <v>0</v>
      </c>
      <c r="X62" s="270">
        <f t="shared" si="47"/>
        <v>0</v>
      </c>
      <c r="Y62" s="271">
        <f t="shared" si="47"/>
        <v>0</v>
      </c>
      <c r="Z62" s="2246">
        <f t="shared" ref="Z62:Z63" si="48">E62+L62+S62</f>
        <v>0</v>
      </c>
      <c r="AA62" s="3080"/>
      <c r="AB62" s="3094"/>
      <c r="AC62" s="3094"/>
      <c r="AD62" s="3094"/>
      <c r="AE62" s="3094"/>
      <c r="AF62" s="3095"/>
      <c r="AG62" s="512"/>
    </row>
    <row r="63" spans="1:33" s="294" customFormat="1">
      <c r="A63" s="263"/>
      <c r="B63" s="263">
        <v>20102</v>
      </c>
      <c r="C63" s="264">
        <v>0</v>
      </c>
      <c r="D63" s="322" t="s">
        <v>760</v>
      </c>
      <c r="E63" s="2246">
        <v>0</v>
      </c>
      <c r="F63" s="514">
        <f>($E14*$C63)-(F14*$C63)</f>
        <v>0</v>
      </c>
      <c r="G63" s="270">
        <f t="shared" si="45"/>
        <v>0</v>
      </c>
      <c r="H63" s="270">
        <f t="shared" si="45"/>
        <v>0</v>
      </c>
      <c r="I63" s="270">
        <f t="shared" si="45"/>
        <v>0</v>
      </c>
      <c r="J63" s="270">
        <f t="shared" si="45"/>
        <v>0</v>
      </c>
      <c r="K63" s="333">
        <f t="shared" si="45"/>
        <v>0</v>
      </c>
      <c r="L63" s="2246">
        <v>0</v>
      </c>
      <c r="M63" s="514">
        <f>($L14*$C63)-(M14*$C63)</f>
        <v>0</v>
      </c>
      <c r="N63" s="270">
        <f t="shared" si="46"/>
        <v>0</v>
      </c>
      <c r="O63" s="270">
        <f t="shared" si="46"/>
        <v>0</v>
      </c>
      <c r="P63" s="270">
        <f t="shared" si="46"/>
        <v>0</v>
      </c>
      <c r="Q63" s="270">
        <f t="shared" si="46"/>
        <v>0</v>
      </c>
      <c r="R63" s="271">
        <f t="shared" si="46"/>
        <v>0</v>
      </c>
      <c r="S63" s="2246">
        <v>0</v>
      </c>
      <c r="T63" s="514">
        <f>($S14*$C63)-(T14*$C63)</f>
        <v>0</v>
      </c>
      <c r="U63" s="270">
        <f t="shared" si="47"/>
        <v>0</v>
      </c>
      <c r="V63" s="270">
        <f t="shared" si="47"/>
        <v>0</v>
      </c>
      <c r="W63" s="270">
        <f t="shared" si="47"/>
        <v>0</v>
      </c>
      <c r="X63" s="270">
        <f t="shared" si="47"/>
        <v>0</v>
      </c>
      <c r="Y63" s="271">
        <f t="shared" si="47"/>
        <v>0</v>
      </c>
      <c r="Z63" s="2246">
        <f t="shared" si="48"/>
        <v>0</v>
      </c>
      <c r="AA63" s="3080"/>
      <c r="AB63" s="3094"/>
      <c r="AC63" s="3094"/>
      <c r="AD63" s="3094"/>
      <c r="AE63" s="3094"/>
      <c r="AF63" s="3095"/>
      <c r="AG63" s="510"/>
    </row>
    <row r="64" spans="1:33" s="262" customFormat="1">
      <c r="A64" s="308">
        <v>2</v>
      </c>
      <c r="B64" s="308">
        <v>202</v>
      </c>
      <c r="C64" s="309">
        <v>0.03</v>
      </c>
      <c r="D64" s="310" t="s">
        <v>576</v>
      </c>
      <c r="E64" s="571">
        <f>SUM(E65:E66)</f>
        <v>0.2</v>
      </c>
      <c r="F64" s="571">
        <f>SUM(F65:F66)</f>
        <v>7.05</v>
      </c>
      <c r="G64" s="312">
        <f t="shared" ref="G64:Z64" si="49">SUM(G65:G66)</f>
        <v>7.05</v>
      </c>
      <c r="H64" s="312">
        <f t="shared" si="49"/>
        <v>7.05</v>
      </c>
      <c r="I64" s="312">
        <f t="shared" si="49"/>
        <v>7.05</v>
      </c>
      <c r="J64" s="312">
        <f t="shared" si="49"/>
        <v>7.05</v>
      </c>
      <c r="K64" s="2034">
        <f t="shared" si="49"/>
        <v>7.05</v>
      </c>
      <c r="L64" s="342">
        <f t="shared" si="49"/>
        <v>0</v>
      </c>
      <c r="M64" s="311">
        <f t="shared" si="49"/>
        <v>0.09</v>
      </c>
      <c r="N64" s="312">
        <f t="shared" si="49"/>
        <v>0.09</v>
      </c>
      <c r="O64" s="312">
        <f t="shared" si="49"/>
        <v>0.09</v>
      </c>
      <c r="P64" s="312">
        <f t="shared" si="49"/>
        <v>0.09</v>
      </c>
      <c r="Q64" s="312">
        <f t="shared" si="49"/>
        <v>0.09</v>
      </c>
      <c r="R64" s="313">
        <f t="shared" si="49"/>
        <v>0.09</v>
      </c>
      <c r="S64" s="342">
        <f t="shared" si="49"/>
        <v>0</v>
      </c>
      <c r="T64" s="314">
        <f t="shared" si="49"/>
        <v>0.3</v>
      </c>
      <c r="U64" s="312">
        <f t="shared" si="49"/>
        <v>0.3</v>
      </c>
      <c r="V64" s="312">
        <f t="shared" si="49"/>
        <v>0.3</v>
      </c>
      <c r="W64" s="312">
        <f t="shared" si="49"/>
        <v>0.3</v>
      </c>
      <c r="X64" s="312">
        <f t="shared" si="49"/>
        <v>0.3</v>
      </c>
      <c r="Y64" s="313">
        <f t="shared" si="49"/>
        <v>0.3</v>
      </c>
      <c r="Z64" s="342">
        <f t="shared" si="49"/>
        <v>0.2</v>
      </c>
      <c r="AA64" s="3080"/>
      <c r="AB64" s="3094"/>
      <c r="AC64" s="3094"/>
      <c r="AD64" s="3094"/>
      <c r="AE64" s="3094"/>
      <c r="AF64" s="3095"/>
      <c r="AG64" s="511"/>
    </row>
    <row r="65" spans="1:33" s="339" customFormat="1">
      <c r="A65" s="266"/>
      <c r="B65" s="266">
        <v>20201</v>
      </c>
      <c r="C65" s="267">
        <v>0.03</v>
      </c>
      <c r="D65" s="284" t="s">
        <v>597</v>
      </c>
      <c r="E65" s="2246">
        <v>0</v>
      </c>
      <c r="F65" s="514">
        <f>($E16*$C65)-(F16*$C65)</f>
        <v>5.64</v>
      </c>
      <c r="G65" s="270">
        <f t="shared" ref="G65:K66" si="50">F65-(G16*$C65)</f>
        <v>5.64</v>
      </c>
      <c r="H65" s="270">
        <f t="shared" si="50"/>
        <v>5.64</v>
      </c>
      <c r="I65" s="270">
        <f t="shared" si="50"/>
        <v>5.64</v>
      </c>
      <c r="J65" s="270">
        <f t="shared" si="50"/>
        <v>5.64</v>
      </c>
      <c r="K65" s="333">
        <f t="shared" si="50"/>
        <v>5.64</v>
      </c>
      <c r="L65" s="2246">
        <v>0</v>
      </c>
      <c r="M65" s="514">
        <f>($L16*$C65)-(M16*$C65)</f>
        <v>0.09</v>
      </c>
      <c r="N65" s="270">
        <f t="shared" ref="N65:R66" si="51">M65-(N16*$C65)</f>
        <v>0.09</v>
      </c>
      <c r="O65" s="270">
        <f t="shared" si="51"/>
        <v>0.09</v>
      </c>
      <c r="P65" s="270">
        <f t="shared" si="51"/>
        <v>0.09</v>
      </c>
      <c r="Q65" s="270">
        <f t="shared" si="51"/>
        <v>0.09</v>
      </c>
      <c r="R65" s="271">
        <f t="shared" si="51"/>
        <v>0.09</v>
      </c>
      <c r="S65" s="2246">
        <v>0</v>
      </c>
      <c r="T65" s="514">
        <f>($S16*$C65)-(T16*$C65)</f>
        <v>0.3</v>
      </c>
      <c r="U65" s="270">
        <f t="shared" ref="U65:Y66" si="52">T65-(U16*$C65)</f>
        <v>0.3</v>
      </c>
      <c r="V65" s="270">
        <f t="shared" si="52"/>
        <v>0.3</v>
      </c>
      <c r="W65" s="270">
        <f t="shared" si="52"/>
        <v>0.3</v>
      </c>
      <c r="X65" s="270">
        <f t="shared" si="52"/>
        <v>0.3</v>
      </c>
      <c r="Y65" s="271">
        <f t="shared" si="52"/>
        <v>0.3</v>
      </c>
      <c r="Z65" s="2246">
        <f t="shared" ref="Z65:Z66" si="53">E65+L65+S65</f>
        <v>0</v>
      </c>
      <c r="AA65" s="3080"/>
      <c r="AB65" s="3094"/>
      <c r="AC65" s="3094"/>
      <c r="AD65" s="3094"/>
      <c r="AE65" s="3094"/>
      <c r="AF65" s="3095"/>
      <c r="AG65" s="510"/>
    </row>
    <row r="66" spans="1:33" s="339" customFormat="1">
      <c r="A66" s="266"/>
      <c r="B66" s="266">
        <v>20202</v>
      </c>
      <c r="C66" s="267">
        <v>0.03</v>
      </c>
      <c r="D66" s="284" t="s">
        <v>598</v>
      </c>
      <c r="E66" s="2246">
        <v>0.2</v>
      </c>
      <c r="F66" s="514">
        <f>($E17*$C66)-(F17*$C66)</f>
        <v>1.41</v>
      </c>
      <c r="G66" s="270">
        <f t="shared" si="50"/>
        <v>1.41</v>
      </c>
      <c r="H66" s="270">
        <f t="shared" si="50"/>
        <v>1.41</v>
      </c>
      <c r="I66" s="270">
        <f t="shared" si="50"/>
        <v>1.41</v>
      </c>
      <c r="J66" s="270">
        <f t="shared" si="50"/>
        <v>1.41</v>
      </c>
      <c r="K66" s="333">
        <f t="shared" si="50"/>
        <v>1.41</v>
      </c>
      <c r="L66" s="2246">
        <v>0</v>
      </c>
      <c r="M66" s="514">
        <f>($L17*$C66)-(M17*$C66)</f>
        <v>0</v>
      </c>
      <c r="N66" s="270">
        <f t="shared" si="51"/>
        <v>0</v>
      </c>
      <c r="O66" s="270">
        <f t="shared" si="51"/>
        <v>0</v>
      </c>
      <c r="P66" s="270">
        <f t="shared" si="51"/>
        <v>0</v>
      </c>
      <c r="Q66" s="270">
        <f t="shared" si="51"/>
        <v>0</v>
      </c>
      <c r="R66" s="271">
        <f t="shared" si="51"/>
        <v>0</v>
      </c>
      <c r="S66" s="2246">
        <v>0</v>
      </c>
      <c r="T66" s="514">
        <f>($S17*$C66)-(T17*$C66)</f>
        <v>0</v>
      </c>
      <c r="U66" s="270">
        <f t="shared" si="52"/>
        <v>0</v>
      </c>
      <c r="V66" s="270">
        <f t="shared" si="52"/>
        <v>0</v>
      </c>
      <c r="W66" s="270">
        <f t="shared" si="52"/>
        <v>0</v>
      </c>
      <c r="X66" s="270">
        <f t="shared" si="52"/>
        <v>0</v>
      </c>
      <c r="Y66" s="271">
        <f t="shared" si="52"/>
        <v>0</v>
      </c>
      <c r="Z66" s="2246">
        <f t="shared" si="53"/>
        <v>0.2</v>
      </c>
      <c r="AA66" s="3080"/>
      <c r="AB66" s="3094"/>
      <c r="AC66" s="3094"/>
      <c r="AD66" s="3094"/>
      <c r="AE66" s="3094"/>
      <c r="AF66" s="3095"/>
      <c r="AG66" s="510"/>
    </row>
    <row r="67" spans="1:33" s="317" customFormat="1" ht="12.75" customHeight="1">
      <c r="A67" s="315">
        <v>3</v>
      </c>
      <c r="B67" s="308">
        <v>203</v>
      </c>
      <c r="C67" s="309"/>
      <c r="D67" s="316" t="s">
        <v>577</v>
      </c>
      <c r="E67" s="343">
        <f t="shared" ref="E67" si="54">SUM(E68:E78)-E71-E74</f>
        <v>9.0399999999999991</v>
      </c>
      <c r="F67" s="571">
        <f t="shared" ref="F67:Z67" si="55">SUM(F68:F78)-F71-F74</f>
        <v>19.600000000000009</v>
      </c>
      <c r="G67" s="312">
        <f t="shared" si="55"/>
        <v>19.600000000000009</v>
      </c>
      <c r="H67" s="312">
        <f t="shared" si="55"/>
        <v>15.600000000000001</v>
      </c>
      <c r="I67" s="312">
        <f t="shared" si="55"/>
        <v>1.6000000000000014</v>
      </c>
      <c r="J67" s="312">
        <f t="shared" si="55"/>
        <v>1.6000000000000014</v>
      </c>
      <c r="K67" s="2034">
        <f t="shared" si="55"/>
        <v>1.6000000000000014</v>
      </c>
      <c r="L67" s="342">
        <f t="shared" si="55"/>
        <v>0</v>
      </c>
      <c r="M67" s="311">
        <f t="shared" si="55"/>
        <v>0</v>
      </c>
      <c r="N67" s="312">
        <f t="shared" si="55"/>
        <v>0</v>
      </c>
      <c r="O67" s="312">
        <f t="shared" si="55"/>
        <v>0</v>
      </c>
      <c r="P67" s="312">
        <f t="shared" si="55"/>
        <v>-2</v>
      </c>
      <c r="Q67" s="312">
        <f t="shared" si="55"/>
        <v>-5</v>
      </c>
      <c r="R67" s="313">
        <f t="shared" si="55"/>
        <v>-5</v>
      </c>
      <c r="S67" s="342">
        <f t="shared" si="55"/>
        <v>0</v>
      </c>
      <c r="T67" s="314">
        <f t="shared" si="55"/>
        <v>5.0000000000000009</v>
      </c>
      <c r="U67" s="312">
        <f t="shared" si="55"/>
        <v>5.0000000000000009</v>
      </c>
      <c r="V67" s="312">
        <f t="shared" si="55"/>
        <v>4.0000000000000009</v>
      </c>
      <c r="W67" s="312">
        <f t="shared" si="55"/>
        <v>2.0000000000000004</v>
      </c>
      <c r="X67" s="312">
        <f t="shared" si="55"/>
        <v>-3.9999999999999996</v>
      </c>
      <c r="Y67" s="313">
        <f t="shared" si="55"/>
        <v>-3.9999999999999996</v>
      </c>
      <c r="Z67" s="342">
        <f t="shared" si="55"/>
        <v>9.0399999999999991</v>
      </c>
      <c r="AA67" s="3080"/>
      <c r="AB67" s="3094"/>
      <c r="AC67" s="3094"/>
      <c r="AD67" s="3094"/>
      <c r="AE67" s="3094"/>
      <c r="AF67" s="3095"/>
      <c r="AG67" s="513"/>
    </row>
    <row r="68" spans="1:33" s="339" customFormat="1">
      <c r="A68" s="266"/>
      <c r="B68" s="266">
        <v>20301</v>
      </c>
      <c r="C68" s="267">
        <v>0.1</v>
      </c>
      <c r="D68" s="318" t="s">
        <v>599</v>
      </c>
      <c r="E68" s="2246">
        <v>1</v>
      </c>
      <c r="F68" s="514">
        <f>($E19*$C68)-(F19*$C68)</f>
        <v>1.5</v>
      </c>
      <c r="G68" s="270">
        <f t="shared" ref="G68:K70" si="56">F68-(G19*$C68)</f>
        <v>1.5</v>
      </c>
      <c r="H68" s="270">
        <f t="shared" si="56"/>
        <v>1.5</v>
      </c>
      <c r="I68" s="270">
        <f t="shared" si="56"/>
        <v>1.5</v>
      </c>
      <c r="J68" s="270">
        <f t="shared" si="56"/>
        <v>1.5</v>
      </c>
      <c r="K68" s="333">
        <f t="shared" si="56"/>
        <v>1.5</v>
      </c>
      <c r="L68" s="2246">
        <v>0</v>
      </c>
      <c r="M68" s="514">
        <f>($L19*$C68)-(M19*$C68)</f>
        <v>0</v>
      </c>
      <c r="N68" s="270">
        <f t="shared" ref="N68:R70" si="57">M68-(N19*$C68)</f>
        <v>0</v>
      </c>
      <c r="O68" s="270">
        <f t="shared" si="57"/>
        <v>0</v>
      </c>
      <c r="P68" s="270">
        <f t="shared" si="57"/>
        <v>0</v>
      </c>
      <c r="Q68" s="270">
        <f t="shared" si="57"/>
        <v>0</v>
      </c>
      <c r="R68" s="271">
        <f t="shared" si="57"/>
        <v>0</v>
      </c>
      <c r="S68" s="2246">
        <v>0</v>
      </c>
      <c r="T68" s="514">
        <f>($S19*$C68)-(T19*$C68)</f>
        <v>0</v>
      </c>
      <c r="U68" s="270">
        <f t="shared" ref="U68:Y70" si="58">T68-(U19*$C68)</f>
        <v>0</v>
      </c>
      <c r="V68" s="270">
        <f t="shared" si="58"/>
        <v>0</v>
      </c>
      <c r="W68" s="270">
        <f t="shared" si="58"/>
        <v>0</v>
      </c>
      <c r="X68" s="270">
        <f t="shared" si="58"/>
        <v>0</v>
      </c>
      <c r="Y68" s="271">
        <f t="shared" si="58"/>
        <v>0</v>
      </c>
      <c r="Z68" s="2246">
        <f t="shared" ref="Z68:Z70" si="59">E68+L68+S68</f>
        <v>1</v>
      </c>
      <c r="AA68" s="3080"/>
      <c r="AB68" s="3094"/>
      <c r="AC68" s="3094"/>
      <c r="AD68" s="3094"/>
      <c r="AE68" s="3094"/>
      <c r="AF68" s="3095"/>
      <c r="AG68" s="307"/>
    </row>
    <row r="69" spans="1:33" s="339" customFormat="1">
      <c r="A69" s="266"/>
      <c r="B69" s="266">
        <v>20302</v>
      </c>
      <c r="C69" s="267">
        <v>0.1</v>
      </c>
      <c r="D69" s="318" t="s">
        <v>600</v>
      </c>
      <c r="E69" s="2246">
        <v>0.4</v>
      </c>
      <c r="F69" s="514">
        <f>($E20*$C69)-(F20*$C69)</f>
        <v>0.30000000000000004</v>
      </c>
      <c r="G69" s="270">
        <f t="shared" si="56"/>
        <v>0.30000000000000004</v>
      </c>
      <c r="H69" s="270">
        <f t="shared" si="56"/>
        <v>-3.7</v>
      </c>
      <c r="I69" s="270">
        <f t="shared" si="56"/>
        <v>-17.7</v>
      </c>
      <c r="J69" s="270">
        <f t="shared" si="56"/>
        <v>-17.7</v>
      </c>
      <c r="K69" s="333">
        <f t="shared" si="56"/>
        <v>-17.7</v>
      </c>
      <c r="L69" s="2246">
        <v>0</v>
      </c>
      <c r="M69" s="514">
        <f>($L20*$C69)-(M20*$C69)</f>
        <v>0</v>
      </c>
      <c r="N69" s="270">
        <f t="shared" si="57"/>
        <v>0</v>
      </c>
      <c r="O69" s="270">
        <f t="shared" si="57"/>
        <v>0</v>
      </c>
      <c r="P69" s="270">
        <f t="shared" si="57"/>
        <v>0</v>
      </c>
      <c r="Q69" s="270">
        <f t="shared" si="57"/>
        <v>0</v>
      </c>
      <c r="R69" s="271">
        <f t="shared" si="57"/>
        <v>0</v>
      </c>
      <c r="S69" s="2246">
        <v>0</v>
      </c>
      <c r="T69" s="514">
        <f>($S20*$C69)-(T20*$C69)</f>
        <v>0.4</v>
      </c>
      <c r="U69" s="270">
        <f t="shared" si="58"/>
        <v>0.4</v>
      </c>
      <c r="V69" s="270">
        <f t="shared" si="58"/>
        <v>-0.6</v>
      </c>
      <c r="W69" s="270">
        <f t="shared" si="58"/>
        <v>-1.6</v>
      </c>
      <c r="X69" s="270">
        <f t="shared" si="58"/>
        <v>-1.6</v>
      </c>
      <c r="Y69" s="271">
        <f t="shared" si="58"/>
        <v>-1.6</v>
      </c>
      <c r="Z69" s="2246">
        <f t="shared" si="59"/>
        <v>0.4</v>
      </c>
      <c r="AA69" s="3080"/>
      <c r="AB69" s="3094"/>
      <c r="AC69" s="3094"/>
      <c r="AD69" s="3094"/>
      <c r="AE69" s="3094"/>
      <c r="AF69" s="3095"/>
      <c r="AG69" s="307"/>
    </row>
    <row r="70" spans="1:33" s="339" customFormat="1">
      <c r="A70" s="266"/>
      <c r="B70" s="266">
        <v>20303</v>
      </c>
      <c r="C70" s="267">
        <v>0.1</v>
      </c>
      <c r="D70" s="318" t="s">
        <v>578</v>
      </c>
      <c r="E70" s="2246">
        <v>0.2</v>
      </c>
      <c r="F70" s="514">
        <f>($E21*$C70)-(F21*$C70)</f>
        <v>0.4</v>
      </c>
      <c r="G70" s="270">
        <f t="shared" si="56"/>
        <v>0.4</v>
      </c>
      <c r="H70" s="270">
        <f t="shared" si="56"/>
        <v>0.4</v>
      </c>
      <c r="I70" s="270">
        <f t="shared" si="56"/>
        <v>0.4</v>
      </c>
      <c r="J70" s="270">
        <f t="shared" si="56"/>
        <v>0.4</v>
      </c>
      <c r="K70" s="333">
        <f t="shared" si="56"/>
        <v>0.4</v>
      </c>
      <c r="L70" s="2246">
        <v>0</v>
      </c>
      <c r="M70" s="514">
        <f>($L21*$C70)-(M21*$C70)</f>
        <v>0</v>
      </c>
      <c r="N70" s="270">
        <f t="shared" si="57"/>
        <v>0</v>
      </c>
      <c r="O70" s="270">
        <f t="shared" si="57"/>
        <v>0</v>
      </c>
      <c r="P70" s="270">
        <f t="shared" si="57"/>
        <v>-2</v>
      </c>
      <c r="Q70" s="270">
        <f t="shared" si="57"/>
        <v>-5</v>
      </c>
      <c r="R70" s="271">
        <f t="shared" si="57"/>
        <v>-5</v>
      </c>
      <c r="S70" s="2246">
        <v>0</v>
      </c>
      <c r="T70" s="514">
        <f>($S21*$C70)-(T21*$C70)</f>
        <v>0</v>
      </c>
      <c r="U70" s="270">
        <f t="shared" si="58"/>
        <v>0</v>
      </c>
      <c r="V70" s="270">
        <f t="shared" si="58"/>
        <v>0</v>
      </c>
      <c r="W70" s="270">
        <f t="shared" si="58"/>
        <v>0</v>
      </c>
      <c r="X70" s="270">
        <f t="shared" si="58"/>
        <v>0</v>
      </c>
      <c r="Y70" s="271">
        <f t="shared" si="58"/>
        <v>0</v>
      </c>
      <c r="Z70" s="2246">
        <f t="shared" si="59"/>
        <v>0.2</v>
      </c>
      <c r="AA70" s="3080"/>
      <c r="AB70" s="3094"/>
      <c r="AC70" s="3094"/>
      <c r="AD70" s="3094"/>
      <c r="AE70" s="3094"/>
      <c r="AF70" s="3095"/>
      <c r="AG70" s="307"/>
    </row>
    <row r="71" spans="1:33" s="339" customFormat="1">
      <c r="A71" s="266"/>
      <c r="B71" s="266">
        <v>20304</v>
      </c>
      <c r="C71" s="274">
        <v>0.1</v>
      </c>
      <c r="D71" s="318" t="s">
        <v>579</v>
      </c>
      <c r="E71" s="344">
        <f t="shared" ref="E71" si="60">SUM(E72:E73)</f>
        <v>0.9</v>
      </c>
      <c r="F71" s="572">
        <f t="shared" ref="F71:Z71" si="61">SUM(F72:F73)</f>
        <v>4.3</v>
      </c>
      <c r="G71" s="254">
        <f t="shared" si="61"/>
        <v>4.3</v>
      </c>
      <c r="H71" s="254">
        <f t="shared" si="61"/>
        <v>4.3</v>
      </c>
      <c r="I71" s="254">
        <f t="shared" si="61"/>
        <v>4.3</v>
      </c>
      <c r="J71" s="254">
        <f t="shared" si="61"/>
        <v>4.3</v>
      </c>
      <c r="K71" s="2035">
        <f t="shared" si="61"/>
        <v>4.3</v>
      </c>
      <c r="L71" s="345">
        <f t="shared" si="61"/>
        <v>0</v>
      </c>
      <c r="M71" s="253">
        <f t="shared" si="61"/>
        <v>0</v>
      </c>
      <c r="N71" s="254">
        <f t="shared" si="61"/>
        <v>0</v>
      </c>
      <c r="O71" s="254">
        <f t="shared" si="61"/>
        <v>0</v>
      </c>
      <c r="P71" s="254">
        <f t="shared" si="61"/>
        <v>0</v>
      </c>
      <c r="Q71" s="254">
        <f t="shared" si="61"/>
        <v>0</v>
      </c>
      <c r="R71" s="255">
        <f t="shared" si="61"/>
        <v>0</v>
      </c>
      <c r="S71" s="345">
        <f t="shared" si="61"/>
        <v>0</v>
      </c>
      <c r="T71" s="256">
        <f t="shared" si="61"/>
        <v>0</v>
      </c>
      <c r="U71" s="254">
        <f t="shared" si="61"/>
        <v>0</v>
      </c>
      <c r="V71" s="254">
        <f t="shared" si="61"/>
        <v>0</v>
      </c>
      <c r="W71" s="254">
        <f t="shared" si="61"/>
        <v>0</v>
      </c>
      <c r="X71" s="254">
        <f t="shared" si="61"/>
        <v>0</v>
      </c>
      <c r="Y71" s="255">
        <f t="shared" si="61"/>
        <v>0</v>
      </c>
      <c r="Z71" s="345">
        <f t="shared" si="61"/>
        <v>0.9</v>
      </c>
      <c r="AA71" s="3080"/>
      <c r="AB71" s="3094"/>
      <c r="AC71" s="3094"/>
      <c r="AD71" s="3094"/>
      <c r="AE71" s="3094"/>
      <c r="AF71" s="3095"/>
      <c r="AG71" s="307"/>
    </row>
    <row r="72" spans="1:33" s="339" customFormat="1">
      <c r="A72" s="266"/>
      <c r="B72" s="319">
        <v>2030401</v>
      </c>
      <c r="C72" s="320">
        <v>0.1</v>
      </c>
      <c r="D72" s="321" t="s">
        <v>1375</v>
      </c>
      <c r="E72" s="2246">
        <v>0.9</v>
      </c>
      <c r="F72" s="514">
        <f>($E23*$C72)-(F23*$C72)</f>
        <v>4.3</v>
      </c>
      <c r="G72" s="270">
        <f t="shared" ref="G72:K73" si="62">F72-(G23*$C72)</f>
        <v>4.3</v>
      </c>
      <c r="H72" s="270">
        <f t="shared" si="62"/>
        <v>4.3</v>
      </c>
      <c r="I72" s="270">
        <f t="shared" si="62"/>
        <v>4.3</v>
      </c>
      <c r="J72" s="270">
        <f t="shared" si="62"/>
        <v>4.3</v>
      </c>
      <c r="K72" s="333">
        <f t="shared" si="62"/>
        <v>4.3</v>
      </c>
      <c r="L72" s="2246">
        <v>0</v>
      </c>
      <c r="M72" s="514">
        <f>($L23*$C72)-(M23*$C72)</f>
        <v>0</v>
      </c>
      <c r="N72" s="270">
        <f t="shared" ref="N72:R73" si="63">M72-(N23*$C72)</f>
        <v>0</v>
      </c>
      <c r="O72" s="270">
        <f t="shared" si="63"/>
        <v>0</v>
      </c>
      <c r="P72" s="270">
        <f t="shared" si="63"/>
        <v>0</v>
      </c>
      <c r="Q72" s="270">
        <f t="shared" si="63"/>
        <v>0</v>
      </c>
      <c r="R72" s="271">
        <f t="shared" si="63"/>
        <v>0</v>
      </c>
      <c r="S72" s="2246">
        <v>0</v>
      </c>
      <c r="T72" s="514">
        <f>($S23*$C72)-(T23*$C72)</f>
        <v>0</v>
      </c>
      <c r="U72" s="270">
        <f t="shared" ref="U72:Y73" si="64">T72-(U23*$C72)</f>
        <v>0</v>
      </c>
      <c r="V72" s="270">
        <f t="shared" si="64"/>
        <v>0</v>
      </c>
      <c r="W72" s="270">
        <f t="shared" si="64"/>
        <v>0</v>
      </c>
      <c r="X72" s="270">
        <f t="shared" si="64"/>
        <v>0</v>
      </c>
      <c r="Y72" s="271">
        <f t="shared" si="64"/>
        <v>0</v>
      </c>
      <c r="Z72" s="2246">
        <f t="shared" ref="Z72:Z73" si="65">E72+L72+S72</f>
        <v>0.9</v>
      </c>
      <c r="AA72" s="3080"/>
      <c r="AB72" s="3094"/>
      <c r="AC72" s="3094"/>
      <c r="AD72" s="3094"/>
      <c r="AE72" s="3094"/>
      <c r="AF72" s="3095"/>
      <c r="AG72" s="307"/>
    </row>
    <row r="73" spans="1:33" s="339" customFormat="1">
      <c r="A73" s="266"/>
      <c r="B73" s="319">
        <v>2030402</v>
      </c>
      <c r="C73" s="320">
        <v>0.1</v>
      </c>
      <c r="D73" s="321" t="s">
        <v>601</v>
      </c>
      <c r="E73" s="2246"/>
      <c r="F73" s="514">
        <f>($E24*$C73)-(F24*$C73)</f>
        <v>0</v>
      </c>
      <c r="G73" s="270">
        <f t="shared" si="62"/>
        <v>0</v>
      </c>
      <c r="H73" s="270">
        <f t="shared" si="62"/>
        <v>0</v>
      </c>
      <c r="I73" s="270">
        <f t="shared" si="62"/>
        <v>0</v>
      </c>
      <c r="J73" s="270">
        <f t="shared" si="62"/>
        <v>0</v>
      </c>
      <c r="K73" s="333">
        <f t="shared" si="62"/>
        <v>0</v>
      </c>
      <c r="L73" s="2246">
        <v>0</v>
      </c>
      <c r="M73" s="514">
        <f>($L24*$C73)-(M24*$C73)</f>
        <v>0</v>
      </c>
      <c r="N73" s="270">
        <f t="shared" si="63"/>
        <v>0</v>
      </c>
      <c r="O73" s="270">
        <f t="shared" si="63"/>
        <v>0</v>
      </c>
      <c r="P73" s="270">
        <f t="shared" si="63"/>
        <v>0</v>
      </c>
      <c r="Q73" s="270">
        <f t="shared" si="63"/>
        <v>0</v>
      </c>
      <c r="R73" s="271">
        <f t="shared" si="63"/>
        <v>0</v>
      </c>
      <c r="S73" s="2246">
        <v>0</v>
      </c>
      <c r="T73" s="514">
        <f>($S24*$C73)-(T24*$C73)</f>
        <v>0</v>
      </c>
      <c r="U73" s="270">
        <f t="shared" si="64"/>
        <v>0</v>
      </c>
      <c r="V73" s="270">
        <f t="shared" si="64"/>
        <v>0</v>
      </c>
      <c r="W73" s="270">
        <f t="shared" si="64"/>
        <v>0</v>
      </c>
      <c r="X73" s="270">
        <f t="shared" si="64"/>
        <v>0</v>
      </c>
      <c r="Y73" s="271">
        <f t="shared" si="64"/>
        <v>0</v>
      </c>
      <c r="Z73" s="2246">
        <f t="shared" si="65"/>
        <v>0</v>
      </c>
      <c r="AA73" s="3080"/>
      <c r="AB73" s="3094"/>
      <c r="AC73" s="3094"/>
      <c r="AD73" s="3094"/>
      <c r="AE73" s="3094"/>
      <c r="AF73" s="3095"/>
      <c r="AG73" s="307"/>
    </row>
    <row r="74" spans="1:33" s="339" customFormat="1">
      <c r="A74" s="266"/>
      <c r="B74" s="266">
        <v>20305</v>
      </c>
      <c r="C74" s="274"/>
      <c r="D74" s="318" t="s">
        <v>602</v>
      </c>
      <c r="E74" s="344">
        <f>SUM(E75:E77)</f>
        <v>4.24</v>
      </c>
      <c r="F74" s="572">
        <f t="shared" ref="F74:Z74" si="66">SUM(F75:F77)</f>
        <v>11.400000000000002</v>
      </c>
      <c r="G74" s="254">
        <f t="shared" si="66"/>
        <v>11.400000000000002</v>
      </c>
      <c r="H74" s="254">
        <f t="shared" si="66"/>
        <v>11.400000000000002</v>
      </c>
      <c r="I74" s="254">
        <f t="shared" si="66"/>
        <v>11.400000000000002</v>
      </c>
      <c r="J74" s="254">
        <f t="shared" si="66"/>
        <v>11.400000000000002</v>
      </c>
      <c r="K74" s="2035">
        <f t="shared" si="66"/>
        <v>11.400000000000002</v>
      </c>
      <c r="L74" s="345">
        <f t="shared" si="66"/>
        <v>0</v>
      </c>
      <c r="M74" s="253">
        <f t="shared" si="66"/>
        <v>0</v>
      </c>
      <c r="N74" s="254">
        <f t="shared" si="66"/>
        <v>0</v>
      </c>
      <c r="O74" s="254">
        <f t="shared" si="66"/>
        <v>0</v>
      </c>
      <c r="P74" s="254">
        <f t="shared" si="66"/>
        <v>0</v>
      </c>
      <c r="Q74" s="254">
        <f t="shared" si="66"/>
        <v>0</v>
      </c>
      <c r="R74" s="255">
        <f t="shared" si="66"/>
        <v>0</v>
      </c>
      <c r="S74" s="345">
        <f t="shared" si="66"/>
        <v>0</v>
      </c>
      <c r="T74" s="256">
        <f t="shared" si="66"/>
        <v>0</v>
      </c>
      <c r="U74" s="254">
        <f t="shared" si="66"/>
        <v>0</v>
      </c>
      <c r="V74" s="254">
        <f t="shared" si="66"/>
        <v>0</v>
      </c>
      <c r="W74" s="254">
        <f t="shared" si="66"/>
        <v>0</v>
      </c>
      <c r="X74" s="254">
        <f t="shared" si="66"/>
        <v>0</v>
      </c>
      <c r="Y74" s="255">
        <f t="shared" si="66"/>
        <v>0</v>
      </c>
      <c r="Z74" s="345">
        <f t="shared" si="66"/>
        <v>4.24</v>
      </c>
      <c r="AA74" s="3080"/>
      <c r="AB74" s="3094"/>
      <c r="AC74" s="3094"/>
      <c r="AD74" s="3094"/>
      <c r="AE74" s="3094"/>
      <c r="AF74" s="3095"/>
      <c r="AG74" s="307"/>
    </row>
    <row r="75" spans="1:33" s="339" customFormat="1">
      <c r="A75" s="266"/>
      <c r="B75" s="266">
        <v>2030501</v>
      </c>
      <c r="C75" s="606">
        <v>0.1</v>
      </c>
      <c r="D75" s="321" t="s">
        <v>1391</v>
      </c>
      <c r="E75" s="2246">
        <v>2.14</v>
      </c>
      <c r="F75" s="514">
        <f>($E26*$C75)-(F26*$C75)</f>
        <v>6.3000000000000007</v>
      </c>
      <c r="G75" s="270">
        <f t="shared" ref="G75:K78" si="67">F75-(G26*$C75)</f>
        <v>6.3000000000000007</v>
      </c>
      <c r="H75" s="270">
        <f t="shared" si="67"/>
        <v>6.3000000000000007</v>
      </c>
      <c r="I75" s="270">
        <f t="shared" si="67"/>
        <v>6.3000000000000007</v>
      </c>
      <c r="J75" s="270">
        <f t="shared" si="67"/>
        <v>6.3000000000000007</v>
      </c>
      <c r="K75" s="333">
        <f t="shared" si="67"/>
        <v>6.3000000000000007</v>
      </c>
      <c r="L75" s="2246">
        <v>0</v>
      </c>
      <c r="M75" s="514">
        <f>($L26*$C75)-(M26*$C75)</f>
        <v>0</v>
      </c>
      <c r="N75" s="270">
        <f t="shared" ref="N75:R78" si="68">M75-(N26*$C75)</f>
        <v>0</v>
      </c>
      <c r="O75" s="270">
        <f t="shared" si="68"/>
        <v>0</v>
      </c>
      <c r="P75" s="270">
        <f t="shared" si="68"/>
        <v>0</v>
      </c>
      <c r="Q75" s="270">
        <f t="shared" si="68"/>
        <v>0</v>
      </c>
      <c r="R75" s="271">
        <f t="shared" si="68"/>
        <v>0</v>
      </c>
      <c r="S75" s="2246">
        <v>0</v>
      </c>
      <c r="T75" s="514">
        <f>($S26*$C75)-(T26*$C75)</f>
        <v>0</v>
      </c>
      <c r="U75" s="270">
        <f t="shared" ref="U75:Y78" si="69">T75-(U26*$C75)</f>
        <v>0</v>
      </c>
      <c r="V75" s="270">
        <f t="shared" si="69"/>
        <v>0</v>
      </c>
      <c r="W75" s="270">
        <f t="shared" si="69"/>
        <v>0</v>
      </c>
      <c r="X75" s="270">
        <f t="shared" si="69"/>
        <v>0</v>
      </c>
      <c r="Y75" s="271">
        <f t="shared" si="69"/>
        <v>0</v>
      </c>
      <c r="Z75" s="2246">
        <f t="shared" ref="Z75:Z78" si="70">E75+L75+S75</f>
        <v>2.14</v>
      </c>
      <c r="AA75" s="3080"/>
      <c r="AB75" s="3094"/>
      <c r="AC75" s="3094"/>
      <c r="AD75" s="3094"/>
      <c r="AE75" s="3094"/>
      <c r="AF75" s="3095"/>
      <c r="AG75" s="307"/>
    </row>
    <row r="76" spans="1:33" s="339" customFormat="1" ht="25.5">
      <c r="A76" s="266"/>
      <c r="B76" s="1833">
        <v>2030502</v>
      </c>
      <c r="C76" s="1840">
        <v>0.1</v>
      </c>
      <c r="D76" s="1838" t="s">
        <v>948</v>
      </c>
      <c r="E76" s="2246">
        <v>1.6</v>
      </c>
      <c r="F76" s="514">
        <f>($E27*$C76)-(F27*$C76)</f>
        <v>3.4000000000000004</v>
      </c>
      <c r="G76" s="270">
        <f t="shared" si="67"/>
        <v>3.4000000000000004</v>
      </c>
      <c r="H76" s="270">
        <f t="shared" si="67"/>
        <v>3.4000000000000004</v>
      </c>
      <c r="I76" s="270">
        <f t="shared" si="67"/>
        <v>3.4000000000000004</v>
      </c>
      <c r="J76" s="270">
        <f t="shared" si="67"/>
        <v>3.4000000000000004</v>
      </c>
      <c r="K76" s="333">
        <f t="shared" si="67"/>
        <v>3.4000000000000004</v>
      </c>
      <c r="L76" s="2246">
        <v>0</v>
      </c>
      <c r="M76" s="514">
        <f>($L27*$C76)-(M27*$C76)</f>
        <v>0</v>
      </c>
      <c r="N76" s="270">
        <f t="shared" si="68"/>
        <v>0</v>
      </c>
      <c r="O76" s="270">
        <f t="shared" si="68"/>
        <v>0</v>
      </c>
      <c r="P76" s="270">
        <f t="shared" si="68"/>
        <v>0</v>
      </c>
      <c r="Q76" s="270">
        <f t="shared" si="68"/>
        <v>0</v>
      </c>
      <c r="R76" s="271">
        <f t="shared" si="68"/>
        <v>0</v>
      </c>
      <c r="S76" s="2246">
        <v>0</v>
      </c>
      <c r="T76" s="514">
        <f>($S27*$C76)-(T27*$C76)</f>
        <v>0</v>
      </c>
      <c r="U76" s="270">
        <f t="shared" si="69"/>
        <v>0</v>
      </c>
      <c r="V76" s="270">
        <f t="shared" si="69"/>
        <v>0</v>
      </c>
      <c r="W76" s="270">
        <f t="shared" si="69"/>
        <v>0</v>
      </c>
      <c r="X76" s="270">
        <f t="shared" si="69"/>
        <v>0</v>
      </c>
      <c r="Y76" s="271">
        <f t="shared" si="69"/>
        <v>0</v>
      </c>
      <c r="Z76" s="2246">
        <f t="shared" si="70"/>
        <v>1.6</v>
      </c>
      <c r="AA76" s="3080"/>
      <c r="AB76" s="3094"/>
      <c r="AC76" s="3094"/>
      <c r="AD76" s="3094"/>
      <c r="AE76" s="3094"/>
      <c r="AF76" s="3095"/>
      <c r="AG76" s="307"/>
    </row>
    <row r="77" spans="1:33" s="339" customFormat="1">
      <c r="A77" s="266"/>
      <c r="B77" s="1833">
        <v>2030503</v>
      </c>
      <c r="C77" s="1840">
        <v>0.1</v>
      </c>
      <c r="D77" s="1838" t="s">
        <v>966</v>
      </c>
      <c r="E77" s="2246">
        <v>0.5</v>
      </c>
      <c r="F77" s="514">
        <f>($E28*$C77)-(F28*$C77)</f>
        <v>1.7000000000000002</v>
      </c>
      <c r="G77" s="270">
        <f t="shared" si="67"/>
        <v>1.7000000000000002</v>
      </c>
      <c r="H77" s="270">
        <f t="shared" si="67"/>
        <v>1.7000000000000002</v>
      </c>
      <c r="I77" s="270">
        <f t="shared" si="67"/>
        <v>1.7000000000000002</v>
      </c>
      <c r="J77" s="270">
        <f t="shared" si="67"/>
        <v>1.7000000000000002</v>
      </c>
      <c r="K77" s="333">
        <f t="shared" si="67"/>
        <v>1.7000000000000002</v>
      </c>
      <c r="L77" s="2246">
        <v>0</v>
      </c>
      <c r="M77" s="514">
        <f>($L28*$C77)-(M28*$C77)</f>
        <v>0</v>
      </c>
      <c r="N77" s="270">
        <f t="shared" si="68"/>
        <v>0</v>
      </c>
      <c r="O77" s="270">
        <f t="shared" si="68"/>
        <v>0</v>
      </c>
      <c r="P77" s="270">
        <f t="shared" si="68"/>
        <v>0</v>
      </c>
      <c r="Q77" s="270">
        <f t="shared" si="68"/>
        <v>0</v>
      </c>
      <c r="R77" s="271">
        <f t="shared" si="68"/>
        <v>0</v>
      </c>
      <c r="S77" s="2246">
        <v>0</v>
      </c>
      <c r="T77" s="514">
        <f>($S28*$C77)-(T28*$C77)</f>
        <v>0</v>
      </c>
      <c r="U77" s="270">
        <f t="shared" si="69"/>
        <v>0</v>
      </c>
      <c r="V77" s="270">
        <f t="shared" si="69"/>
        <v>0</v>
      </c>
      <c r="W77" s="270">
        <f t="shared" si="69"/>
        <v>0</v>
      </c>
      <c r="X77" s="270">
        <f t="shared" si="69"/>
        <v>0</v>
      </c>
      <c r="Y77" s="271">
        <f t="shared" si="69"/>
        <v>0</v>
      </c>
      <c r="Z77" s="2246">
        <f t="shared" si="70"/>
        <v>0.5</v>
      </c>
      <c r="AA77" s="3080"/>
      <c r="AB77" s="3094"/>
      <c r="AC77" s="3094"/>
      <c r="AD77" s="3094"/>
      <c r="AE77" s="3094"/>
      <c r="AF77" s="3095"/>
      <c r="AG77" s="307"/>
    </row>
    <row r="78" spans="1:33" s="339" customFormat="1">
      <c r="A78" s="266"/>
      <c r="B78" s="1833">
        <v>20306</v>
      </c>
      <c r="C78" s="1834">
        <v>0.1</v>
      </c>
      <c r="D78" s="1822" t="s">
        <v>581</v>
      </c>
      <c r="E78" s="2246">
        <v>2.2999999999999998</v>
      </c>
      <c r="F78" s="514">
        <f>($E29*$C78)-(F29*$C78)</f>
        <v>1.7000000000000002</v>
      </c>
      <c r="G78" s="270">
        <f t="shared" si="67"/>
        <v>1.7000000000000002</v>
      </c>
      <c r="H78" s="270">
        <f t="shared" si="67"/>
        <v>1.7000000000000002</v>
      </c>
      <c r="I78" s="270">
        <f t="shared" si="67"/>
        <v>1.7000000000000002</v>
      </c>
      <c r="J78" s="270">
        <f t="shared" si="67"/>
        <v>1.7000000000000002</v>
      </c>
      <c r="K78" s="333">
        <f t="shared" si="67"/>
        <v>1.7000000000000002</v>
      </c>
      <c r="L78" s="2246">
        <v>0</v>
      </c>
      <c r="M78" s="514">
        <f>($L29*$C78)-(M29*$C78)</f>
        <v>0</v>
      </c>
      <c r="N78" s="270">
        <f t="shared" si="68"/>
        <v>0</v>
      </c>
      <c r="O78" s="270">
        <f t="shared" si="68"/>
        <v>0</v>
      </c>
      <c r="P78" s="270">
        <f t="shared" si="68"/>
        <v>0</v>
      </c>
      <c r="Q78" s="270">
        <f t="shared" si="68"/>
        <v>0</v>
      </c>
      <c r="R78" s="271">
        <f t="shared" si="68"/>
        <v>0</v>
      </c>
      <c r="S78" s="2246">
        <v>0</v>
      </c>
      <c r="T78" s="514">
        <f>($S29*$C78)-(T29*$C78)</f>
        <v>4.6000000000000005</v>
      </c>
      <c r="U78" s="270">
        <f t="shared" si="69"/>
        <v>4.6000000000000005</v>
      </c>
      <c r="V78" s="270">
        <f t="shared" si="69"/>
        <v>4.6000000000000005</v>
      </c>
      <c r="W78" s="270">
        <f t="shared" si="69"/>
        <v>3.6000000000000005</v>
      </c>
      <c r="X78" s="270">
        <f t="shared" si="69"/>
        <v>-2.3999999999999995</v>
      </c>
      <c r="Y78" s="271">
        <f t="shared" si="69"/>
        <v>-2.3999999999999995</v>
      </c>
      <c r="Z78" s="2246">
        <f t="shared" si="70"/>
        <v>2.2999999999999998</v>
      </c>
      <c r="AA78" s="3080"/>
      <c r="AB78" s="3094"/>
      <c r="AC78" s="3094"/>
      <c r="AD78" s="3094"/>
      <c r="AE78" s="3094"/>
      <c r="AF78" s="3095"/>
      <c r="AG78" s="307"/>
    </row>
    <row r="79" spans="1:33" s="339" customFormat="1" ht="14.25" customHeight="1">
      <c r="A79" s="308">
        <v>4</v>
      </c>
      <c r="B79" s="1831">
        <v>204</v>
      </c>
      <c r="C79" s="1832"/>
      <c r="D79" s="1841" t="s">
        <v>274</v>
      </c>
      <c r="E79" s="343">
        <f>E80+E83+E92+E93</f>
        <v>1.9000000000000001</v>
      </c>
      <c r="F79" s="571">
        <f t="shared" ref="F79:Z79" si="71">F80+F83+F92+F93</f>
        <v>27.5</v>
      </c>
      <c r="G79" s="312">
        <f t="shared" si="71"/>
        <v>27.5</v>
      </c>
      <c r="H79" s="312">
        <f t="shared" si="71"/>
        <v>27.5</v>
      </c>
      <c r="I79" s="312">
        <f t="shared" si="71"/>
        <v>27.5</v>
      </c>
      <c r="J79" s="312">
        <f t="shared" si="71"/>
        <v>27.5</v>
      </c>
      <c r="K79" s="2034">
        <f t="shared" si="71"/>
        <v>27.5</v>
      </c>
      <c r="L79" s="342">
        <f t="shared" si="71"/>
        <v>0</v>
      </c>
      <c r="M79" s="311">
        <f t="shared" si="71"/>
        <v>0.16</v>
      </c>
      <c r="N79" s="312">
        <f t="shared" si="71"/>
        <v>0.16</v>
      </c>
      <c r="O79" s="312">
        <f t="shared" si="71"/>
        <v>0.16</v>
      </c>
      <c r="P79" s="312">
        <f t="shared" si="71"/>
        <v>0.16</v>
      </c>
      <c r="Q79" s="312">
        <f t="shared" si="71"/>
        <v>0.16</v>
      </c>
      <c r="R79" s="313">
        <f t="shared" si="71"/>
        <v>0.16</v>
      </c>
      <c r="S79" s="342">
        <f t="shared" si="71"/>
        <v>0</v>
      </c>
      <c r="T79" s="314">
        <f t="shared" si="71"/>
        <v>0.12</v>
      </c>
      <c r="U79" s="312">
        <f t="shared" si="71"/>
        <v>0.12</v>
      </c>
      <c r="V79" s="312">
        <f t="shared" si="71"/>
        <v>0.12</v>
      </c>
      <c r="W79" s="312">
        <f t="shared" si="71"/>
        <v>0.12</v>
      </c>
      <c r="X79" s="312">
        <f t="shared" si="71"/>
        <v>0.12</v>
      </c>
      <c r="Y79" s="313">
        <f t="shared" si="71"/>
        <v>0.12</v>
      </c>
      <c r="Z79" s="342">
        <f t="shared" si="71"/>
        <v>1.9000000000000001</v>
      </c>
      <c r="AA79" s="3080"/>
      <c r="AB79" s="3094"/>
      <c r="AC79" s="3094"/>
      <c r="AD79" s="3094"/>
      <c r="AE79" s="3094"/>
      <c r="AF79" s="3095"/>
      <c r="AG79" s="307"/>
    </row>
    <row r="80" spans="1:33" s="339" customFormat="1">
      <c r="A80" s="266"/>
      <c r="B80" s="1833">
        <v>20401</v>
      </c>
      <c r="C80" s="1839"/>
      <c r="D80" s="1830" t="s">
        <v>589</v>
      </c>
      <c r="E80" s="344">
        <f t="shared" ref="E80" si="72">SUM(E81:E82)</f>
        <v>0.3</v>
      </c>
      <c r="F80" s="572">
        <f t="shared" ref="F80:Z80" si="73">SUM(F81:F82)</f>
        <v>0.70000000000000007</v>
      </c>
      <c r="G80" s="254">
        <f t="shared" si="73"/>
        <v>0.70000000000000007</v>
      </c>
      <c r="H80" s="254">
        <f t="shared" si="73"/>
        <v>0.70000000000000007</v>
      </c>
      <c r="I80" s="254">
        <f t="shared" si="73"/>
        <v>0.70000000000000007</v>
      </c>
      <c r="J80" s="254">
        <f t="shared" si="73"/>
        <v>0.70000000000000007</v>
      </c>
      <c r="K80" s="2035">
        <f t="shared" si="73"/>
        <v>0.70000000000000007</v>
      </c>
      <c r="L80" s="345">
        <f t="shared" si="73"/>
        <v>0</v>
      </c>
      <c r="M80" s="253">
        <f t="shared" si="73"/>
        <v>0</v>
      </c>
      <c r="N80" s="254">
        <f t="shared" si="73"/>
        <v>0</v>
      </c>
      <c r="O80" s="254">
        <f t="shared" si="73"/>
        <v>0</v>
      </c>
      <c r="P80" s="254">
        <f t="shared" si="73"/>
        <v>0</v>
      </c>
      <c r="Q80" s="254">
        <f t="shared" si="73"/>
        <v>0</v>
      </c>
      <c r="R80" s="255">
        <f t="shared" si="73"/>
        <v>0</v>
      </c>
      <c r="S80" s="345">
        <f t="shared" si="73"/>
        <v>0</v>
      </c>
      <c r="T80" s="256">
        <f t="shared" si="73"/>
        <v>0</v>
      </c>
      <c r="U80" s="254">
        <f t="shared" si="73"/>
        <v>0</v>
      </c>
      <c r="V80" s="254">
        <f t="shared" si="73"/>
        <v>0</v>
      </c>
      <c r="W80" s="254">
        <f t="shared" si="73"/>
        <v>0</v>
      </c>
      <c r="X80" s="254">
        <f t="shared" si="73"/>
        <v>0</v>
      </c>
      <c r="Y80" s="255">
        <f t="shared" si="73"/>
        <v>0</v>
      </c>
      <c r="Z80" s="345">
        <f t="shared" si="73"/>
        <v>0.3</v>
      </c>
      <c r="AA80" s="3080"/>
      <c r="AB80" s="3094"/>
      <c r="AC80" s="3094"/>
      <c r="AD80" s="3094"/>
      <c r="AE80" s="3094"/>
      <c r="AF80" s="3095"/>
      <c r="AG80" s="307"/>
    </row>
    <row r="81" spans="1:33" s="339" customFormat="1">
      <c r="A81" s="266"/>
      <c r="B81" s="1836">
        <v>2040101</v>
      </c>
      <c r="C81" s="1837">
        <v>0.1</v>
      </c>
      <c r="D81" s="1842" t="s">
        <v>603</v>
      </c>
      <c r="E81" s="2246">
        <v>0.3</v>
      </c>
      <c r="F81" s="514">
        <f>($E32*$C81)-(F32*$C81)</f>
        <v>0.70000000000000007</v>
      </c>
      <c r="G81" s="270">
        <f t="shared" ref="G81:K82" si="74">F81-(G32*$C81)</f>
        <v>0.70000000000000007</v>
      </c>
      <c r="H81" s="270">
        <f t="shared" si="74"/>
        <v>0.70000000000000007</v>
      </c>
      <c r="I81" s="270">
        <f t="shared" si="74"/>
        <v>0.70000000000000007</v>
      </c>
      <c r="J81" s="270">
        <f t="shared" si="74"/>
        <v>0.70000000000000007</v>
      </c>
      <c r="K81" s="333">
        <f t="shared" si="74"/>
        <v>0.70000000000000007</v>
      </c>
      <c r="L81" s="2246">
        <v>0</v>
      </c>
      <c r="M81" s="514">
        <f>($L32*$C81)-(M32*$C81)</f>
        <v>0</v>
      </c>
      <c r="N81" s="270">
        <f t="shared" ref="N81:R82" si="75">M81-(N32*$C81)</f>
        <v>0</v>
      </c>
      <c r="O81" s="270">
        <f t="shared" si="75"/>
        <v>0</v>
      </c>
      <c r="P81" s="270">
        <f t="shared" si="75"/>
        <v>0</v>
      </c>
      <c r="Q81" s="270">
        <f t="shared" si="75"/>
        <v>0</v>
      </c>
      <c r="R81" s="271">
        <f t="shared" si="75"/>
        <v>0</v>
      </c>
      <c r="S81" s="2246">
        <v>0</v>
      </c>
      <c r="T81" s="514">
        <f>($S32*$C81)-(T32*$C81)</f>
        <v>0</v>
      </c>
      <c r="U81" s="270">
        <f t="shared" ref="U81:Y82" si="76">T81-(U32*$C81)</f>
        <v>0</v>
      </c>
      <c r="V81" s="270">
        <f t="shared" si="76"/>
        <v>0</v>
      </c>
      <c r="W81" s="270">
        <f t="shared" si="76"/>
        <v>0</v>
      </c>
      <c r="X81" s="270">
        <f t="shared" si="76"/>
        <v>0</v>
      </c>
      <c r="Y81" s="271">
        <f t="shared" si="76"/>
        <v>0</v>
      </c>
      <c r="Z81" s="2246">
        <f t="shared" ref="Z81:Z82" si="77">E81+L81+S81</f>
        <v>0.3</v>
      </c>
      <c r="AA81" s="3080"/>
      <c r="AB81" s="3094"/>
      <c r="AC81" s="3094"/>
      <c r="AD81" s="3094"/>
      <c r="AE81" s="3094"/>
      <c r="AF81" s="3095"/>
      <c r="AG81" s="307"/>
    </row>
    <row r="82" spans="1:33" s="339" customFormat="1">
      <c r="A82" s="266"/>
      <c r="B82" s="1836">
        <v>2040102</v>
      </c>
      <c r="C82" s="1837">
        <v>0.04</v>
      </c>
      <c r="D82" s="1842" t="s">
        <v>604</v>
      </c>
      <c r="E82" s="2246">
        <v>0</v>
      </c>
      <c r="F82" s="514">
        <f>($E33*$C82)-(F33*$C82)</f>
        <v>0</v>
      </c>
      <c r="G82" s="270">
        <f t="shared" si="74"/>
        <v>0</v>
      </c>
      <c r="H82" s="270">
        <f t="shared" si="74"/>
        <v>0</v>
      </c>
      <c r="I82" s="270">
        <f t="shared" si="74"/>
        <v>0</v>
      </c>
      <c r="J82" s="270">
        <f t="shared" si="74"/>
        <v>0</v>
      </c>
      <c r="K82" s="333">
        <f t="shared" si="74"/>
        <v>0</v>
      </c>
      <c r="L82" s="2246">
        <v>0</v>
      </c>
      <c r="M82" s="514">
        <f>($L33*$C82)-(M33*$C82)</f>
        <v>0</v>
      </c>
      <c r="N82" s="270">
        <f t="shared" si="75"/>
        <v>0</v>
      </c>
      <c r="O82" s="270">
        <f t="shared" si="75"/>
        <v>0</v>
      </c>
      <c r="P82" s="270">
        <f t="shared" si="75"/>
        <v>0</v>
      </c>
      <c r="Q82" s="270">
        <f t="shared" si="75"/>
        <v>0</v>
      </c>
      <c r="R82" s="271">
        <f t="shared" si="75"/>
        <v>0</v>
      </c>
      <c r="S82" s="2246">
        <v>0</v>
      </c>
      <c r="T82" s="514">
        <f>($S33*$C82)-(T33*$C82)</f>
        <v>0</v>
      </c>
      <c r="U82" s="270">
        <f t="shared" si="76"/>
        <v>0</v>
      </c>
      <c r="V82" s="270">
        <f t="shared" si="76"/>
        <v>0</v>
      </c>
      <c r="W82" s="270">
        <f t="shared" si="76"/>
        <v>0</v>
      </c>
      <c r="X82" s="270">
        <f t="shared" si="76"/>
        <v>0</v>
      </c>
      <c r="Y82" s="271">
        <f t="shared" si="76"/>
        <v>0</v>
      </c>
      <c r="Z82" s="2246">
        <f t="shared" si="77"/>
        <v>0</v>
      </c>
      <c r="AA82" s="3080"/>
      <c r="AB82" s="3094"/>
      <c r="AC82" s="3094"/>
      <c r="AD82" s="3094"/>
      <c r="AE82" s="3094"/>
      <c r="AF82" s="3095"/>
      <c r="AG82" s="307"/>
    </row>
    <row r="83" spans="1:33" s="339" customFormat="1">
      <c r="A83" s="266"/>
      <c r="B83" s="1833">
        <v>20402</v>
      </c>
      <c r="C83" s="1839"/>
      <c r="D83" s="1830" t="s">
        <v>605</v>
      </c>
      <c r="E83" s="344">
        <f>SUM(E84:E91)</f>
        <v>1.6</v>
      </c>
      <c r="F83" s="572">
        <f t="shared" ref="F83:K83" si="78">SUM(F84:F91)</f>
        <v>23.92</v>
      </c>
      <c r="G83" s="254">
        <f t="shared" si="78"/>
        <v>23.92</v>
      </c>
      <c r="H83" s="254">
        <f t="shared" si="78"/>
        <v>23.92</v>
      </c>
      <c r="I83" s="254">
        <f t="shared" si="78"/>
        <v>23.92</v>
      </c>
      <c r="J83" s="254">
        <f t="shared" si="78"/>
        <v>23.92</v>
      </c>
      <c r="K83" s="2035">
        <f t="shared" si="78"/>
        <v>23.92</v>
      </c>
      <c r="L83" s="345">
        <f>SUM(L84:L91)</f>
        <v>0</v>
      </c>
      <c r="M83" s="253">
        <f t="shared" ref="M83" si="79">SUM(M84:M91)</f>
        <v>0.08</v>
      </c>
      <c r="N83" s="254">
        <f t="shared" ref="N83" si="80">SUM(N84:N91)</f>
        <v>0.08</v>
      </c>
      <c r="O83" s="254">
        <f t="shared" ref="O83" si="81">SUM(O84:O91)</f>
        <v>0.08</v>
      </c>
      <c r="P83" s="254">
        <f t="shared" ref="P83" si="82">SUM(P84:P91)</f>
        <v>0.08</v>
      </c>
      <c r="Q83" s="254">
        <f t="shared" ref="Q83" si="83">SUM(Q84:Q91)</f>
        <v>0.08</v>
      </c>
      <c r="R83" s="255">
        <f t="shared" ref="R83" si="84">SUM(R84:R91)</f>
        <v>0.08</v>
      </c>
      <c r="S83" s="345">
        <f>SUM(S84:S91)</f>
        <v>0</v>
      </c>
      <c r="T83" s="256">
        <f t="shared" ref="T83" si="85">SUM(T84:T91)</f>
        <v>0</v>
      </c>
      <c r="U83" s="254">
        <f t="shared" ref="U83" si="86">SUM(U84:U91)</f>
        <v>0</v>
      </c>
      <c r="V83" s="254">
        <f t="shared" ref="V83" si="87">SUM(V84:V91)</f>
        <v>0</v>
      </c>
      <c r="W83" s="254">
        <f t="shared" ref="W83" si="88">SUM(W84:W91)</f>
        <v>0</v>
      </c>
      <c r="X83" s="254">
        <f t="shared" ref="X83" si="89">SUM(X84:X91)</f>
        <v>0</v>
      </c>
      <c r="Y83" s="255">
        <f t="shared" ref="Y83" si="90">SUM(Y84:Y91)</f>
        <v>0</v>
      </c>
      <c r="Z83" s="345">
        <f>SUM(Z84:Z91)</f>
        <v>1.6</v>
      </c>
      <c r="AA83" s="3080"/>
      <c r="AB83" s="3094"/>
      <c r="AC83" s="3094"/>
      <c r="AD83" s="3094"/>
      <c r="AE83" s="3094"/>
      <c r="AF83" s="3095"/>
      <c r="AG83" s="307"/>
    </row>
    <row r="84" spans="1:33" s="339" customFormat="1">
      <c r="A84" s="266"/>
      <c r="B84" s="1833">
        <v>2040201</v>
      </c>
      <c r="C84" s="1834">
        <v>0.02</v>
      </c>
      <c r="D84" s="1838" t="s">
        <v>1007</v>
      </c>
      <c r="E84" s="2246">
        <v>0</v>
      </c>
      <c r="F84" s="514">
        <f t="shared" ref="F84:F92" si="91">($E35*$C84)-(F35*$C84)</f>
        <v>0</v>
      </c>
      <c r="G84" s="270">
        <f t="shared" ref="G84:K91" si="92">F84-(G35*$C84)</f>
        <v>0</v>
      </c>
      <c r="H84" s="270">
        <f t="shared" si="92"/>
        <v>0</v>
      </c>
      <c r="I84" s="270">
        <f t="shared" si="92"/>
        <v>0</v>
      </c>
      <c r="J84" s="270">
        <f t="shared" si="92"/>
        <v>0</v>
      </c>
      <c r="K84" s="333">
        <f t="shared" si="92"/>
        <v>0</v>
      </c>
      <c r="L84" s="2246">
        <v>0</v>
      </c>
      <c r="M84" s="514">
        <f t="shared" ref="M84:M91" si="93">($L35*$C84)-(M35*$C84)</f>
        <v>0</v>
      </c>
      <c r="N84" s="270">
        <f t="shared" ref="N84:R91" si="94">M84-(N35*$C84)</f>
        <v>0</v>
      </c>
      <c r="O84" s="270">
        <f t="shared" si="94"/>
        <v>0</v>
      </c>
      <c r="P84" s="270">
        <f t="shared" si="94"/>
        <v>0</v>
      </c>
      <c r="Q84" s="270">
        <f t="shared" si="94"/>
        <v>0</v>
      </c>
      <c r="R84" s="271">
        <f t="shared" si="94"/>
        <v>0</v>
      </c>
      <c r="S84" s="2246">
        <v>0</v>
      </c>
      <c r="T84" s="514">
        <f t="shared" ref="T84:T91" si="95">($S35*$C84)-(T35*$C84)</f>
        <v>0</v>
      </c>
      <c r="U84" s="270">
        <f t="shared" ref="U84:Y91" si="96">T84-(U35*$C84)</f>
        <v>0</v>
      </c>
      <c r="V84" s="270">
        <f t="shared" si="96"/>
        <v>0</v>
      </c>
      <c r="W84" s="270">
        <f t="shared" si="96"/>
        <v>0</v>
      </c>
      <c r="X84" s="270">
        <f t="shared" si="96"/>
        <v>0</v>
      </c>
      <c r="Y84" s="271">
        <f t="shared" si="96"/>
        <v>0</v>
      </c>
      <c r="Z84" s="2246">
        <f t="shared" ref="Z84:Z93" si="97">E84+L84+S84</f>
        <v>0</v>
      </c>
      <c r="AA84" s="3080"/>
      <c r="AB84" s="3094"/>
      <c r="AC84" s="3094"/>
      <c r="AD84" s="3094"/>
      <c r="AE84" s="3094"/>
      <c r="AF84" s="3095"/>
      <c r="AG84" s="307"/>
    </row>
    <row r="85" spans="1:33" s="339" customFormat="1">
      <c r="A85" s="266"/>
      <c r="B85" s="1833">
        <v>2040202</v>
      </c>
      <c r="C85" s="1834">
        <v>0.02</v>
      </c>
      <c r="D85" s="1838" t="s">
        <v>1008</v>
      </c>
      <c r="E85" s="2246">
        <v>1.6</v>
      </c>
      <c r="F85" s="514">
        <f t="shared" si="91"/>
        <v>5.1000000000000005</v>
      </c>
      <c r="G85" s="270">
        <f t="shared" si="92"/>
        <v>5.1000000000000005</v>
      </c>
      <c r="H85" s="270">
        <f t="shared" si="92"/>
        <v>5.1000000000000005</v>
      </c>
      <c r="I85" s="270">
        <f t="shared" si="92"/>
        <v>5.1000000000000005</v>
      </c>
      <c r="J85" s="270">
        <f t="shared" si="92"/>
        <v>5.1000000000000005</v>
      </c>
      <c r="K85" s="333">
        <f t="shared" si="92"/>
        <v>5.1000000000000005</v>
      </c>
      <c r="L85" s="2246">
        <v>0</v>
      </c>
      <c r="M85" s="514">
        <f t="shared" si="93"/>
        <v>0</v>
      </c>
      <c r="N85" s="270">
        <f t="shared" si="94"/>
        <v>0</v>
      </c>
      <c r="O85" s="270">
        <f t="shared" si="94"/>
        <v>0</v>
      </c>
      <c r="P85" s="270">
        <f t="shared" si="94"/>
        <v>0</v>
      </c>
      <c r="Q85" s="270">
        <f t="shared" si="94"/>
        <v>0</v>
      </c>
      <c r="R85" s="271">
        <f t="shared" si="94"/>
        <v>0</v>
      </c>
      <c r="S85" s="2246">
        <v>0</v>
      </c>
      <c r="T85" s="514">
        <f t="shared" si="95"/>
        <v>0</v>
      </c>
      <c r="U85" s="270">
        <f t="shared" si="96"/>
        <v>0</v>
      </c>
      <c r="V85" s="270">
        <f t="shared" si="96"/>
        <v>0</v>
      </c>
      <c r="W85" s="270">
        <f t="shared" si="96"/>
        <v>0</v>
      </c>
      <c r="X85" s="270">
        <f t="shared" si="96"/>
        <v>0</v>
      </c>
      <c r="Y85" s="271">
        <f t="shared" si="96"/>
        <v>0</v>
      </c>
      <c r="Z85" s="2246">
        <f t="shared" si="97"/>
        <v>1.6</v>
      </c>
      <c r="AA85" s="3080"/>
      <c r="AB85" s="3094"/>
      <c r="AC85" s="3094"/>
      <c r="AD85" s="3094"/>
      <c r="AE85" s="3094"/>
      <c r="AF85" s="3095"/>
      <c r="AG85" s="307"/>
    </row>
    <row r="86" spans="1:33" s="339" customFormat="1">
      <c r="A86" s="266"/>
      <c r="B86" s="1833">
        <v>2040203</v>
      </c>
      <c r="C86" s="1834">
        <v>0.02</v>
      </c>
      <c r="D86" s="1838" t="s">
        <v>590</v>
      </c>
      <c r="E86" s="2246">
        <v>0</v>
      </c>
      <c r="F86" s="514">
        <f t="shared" si="91"/>
        <v>0.42</v>
      </c>
      <c r="G86" s="270">
        <f t="shared" si="92"/>
        <v>0.42</v>
      </c>
      <c r="H86" s="270">
        <f t="shared" si="92"/>
        <v>0.42</v>
      </c>
      <c r="I86" s="270">
        <f t="shared" si="92"/>
        <v>0.42</v>
      </c>
      <c r="J86" s="270">
        <f t="shared" si="92"/>
        <v>0.42</v>
      </c>
      <c r="K86" s="333">
        <f t="shared" si="92"/>
        <v>0.42</v>
      </c>
      <c r="L86" s="2246">
        <v>0</v>
      </c>
      <c r="M86" s="514">
        <f t="shared" si="93"/>
        <v>0</v>
      </c>
      <c r="N86" s="270">
        <f t="shared" si="94"/>
        <v>0</v>
      </c>
      <c r="O86" s="270">
        <f t="shared" si="94"/>
        <v>0</v>
      </c>
      <c r="P86" s="270">
        <f t="shared" si="94"/>
        <v>0</v>
      </c>
      <c r="Q86" s="270">
        <f t="shared" si="94"/>
        <v>0</v>
      </c>
      <c r="R86" s="271">
        <f t="shared" si="94"/>
        <v>0</v>
      </c>
      <c r="S86" s="2246">
        <v>0</v>
      </c>
      <c r="T86" s="514">
        <f t="shared" si="95"/>
        <v>0</v>
      </c>
      <c r="U86" s="270">
        <f t="shared" si="96"/>
        <v>0</v>
      </c>
      <c r="V86" s="270">
        <f t="shared" si="96"/>
        <v>0</v>
      </c>
      <c r="W86" s="270">
        <f t="shared" si="96"/>
        <v>0</v>
      </c>
      <c r="X86" s="270">
        <f t="shared" si="96"/>
        <v>0</v>
      </c>
      <c r="Y86" s="271">
        <f t="shared" si="96"/>
        <v>0</v>
      </c>
      <c r="Z86" s="2246">
        <f t="shared" si="97"/>
        <v>0</v>
      </c>
      <c r="AA86" s="3080"/>
      <c r="AB86" s="3094"/>
      <c r="AC86" s="3094"/>
      <c r="AD86" s="3094"/>
      <c r="AE86" s="3094"/>
      <c r="AF86" s="3095"/>
      <c r="AG86" s="307"/>
    </row>
    <row r="87" spans="1:33" s="339" customFormat="1">
      <c r="A87" s="266"/>
      <c r="B87" s="1833">
        <v>2040204</v>
      </c>
      <c r="C87" s="1834">
        <v>0.02</v>
      </c>
      <c r="D87" s="1842" t="s">
        <v>591</v>
      </c>
      <c r="E87" s="2246">
        <v>0</v>
      </c>
      <c r="F87" s="514">
        <f t="shared" si="91"/>
        <v>0</v>
      </c>
      <c r="G87" s="270">
        <f t="shared" si="92"/>
        <v>0</v>
      </c>
      <c r="H87" s="270">
        <f t="shared" si="92"/>
        <v>0</v>
      </c>
      <c r="I87" s="270">
        <f t="shared" si="92"/>
        <v>0</v>
      </c>
      <c r="J87" s="270">
        <f t="shared" si="92"/>
        <v>0</v>
      </c>
      <c r="K87" s="333">
        <f t="shared" si="92"/>
        <v>0</v>
      </c>
      <c r="L87" s="2246">
        <v>0</v>
      </c>
      <c r="M87" s="514">
        <f t="shared" si="93"/>
        <v>0</v>
      </c>
      <c r="N87" s="270">
        <f t="shared" si="94"/>
        <v>0</v>
      </c>
      <c r="O87" s="270">
        <f t="shared" si="94"/>
        <v>0</v>
      </c>
      <c r="P87" s="270">
        <f t="shared" si="94"/>
        <v>0</v>
      </c>
      <c r="Q87" s="270">
        <f t="shared" si="94"/>
        <v>0</v>
      </c>
      <c r="R87" s="271">
        <f t="shared" si="94"/>
        <v>0</v>
      </c>
      <c r="S87" s="2246">
        <v>0</v>
      </c>
      <c r="T87" s="514">
        <f t="shared" si="95"/>
        <v>0</v>
      </c>
      <c r="U87" s="270">
        <f t="shared" si="96"/>
        <v>0</v>
      </c>
      <c r="V87" s="270">
        <f t="shared" si="96"/>
        <v>0</v>
      </c>
      <c r="W87" s="270">
        <f t="shared" si="96"/>
        <v>0</v>
      </c>
      <c r="X87" s="270">
        <f t="shared" si="96"/>
        <v>0</v>
      </c>
      <c r="Y87" s="271">
        <f t="shared" si="96"/>
        <v>0</v>
      </c>
      <c r="Z87" s="2246">
        <f t="shared" si="97"/>
        <v>0</v>
      </c>
      <c r="AA87" s="3080"/>
      <c r="AB87" s="3094"/>
      <c r="AC87" s="3094"/>
      <c r="AD87" s="3094"/>
      <c r="AE87" s="3094"/>
      <c r="AF87" s="3095"/>
      <c r="AG87" s="307"/>
    </row>
    <row r="88" spans="1:33" s="339" customFormat="1">
      <c r="A88" s="266"/>
      <c r="B88" s="1833">
        <v>2040205</v>
      </c>
      <c r="C88" s="1834">
        <v>0.02</v>
      </c>
      <c r="D88" s="1838" t="s">
        <v>592</v>
      </c>
      <c r="E88" s="2246">
        <v>0</v>
      </c>
      <c r="F88" s="514">
        <f t="shared" si="91"/>
        <v>17.760000000000002</v>
      </c>
      <c r="G88" s="270">
        <f t="shared" si="92"/>
        <v>17.760000000000002</v>
      </c>
      <c r="H88" s="270">
        <f t="shared" si="92"/>
        <v>17.760000000000002</v>
      </c>
      <c r="I88" s="270">
        <f t="shared" si="92"/>
        <v>17.760000000000002</v>
      </c>
      <c r="J88" s="270">
        <f t="shared" si="92"/>
        <v>17.760000000000002</v>
      </c>
      <c r="K88" s="333">
        <f t="shared" si="92"/>
        <v>17.760000000000002</v>
      </c>
      <c r="L88" s="2246">
        <v>0</v>
      </c>
      <c r="M88" s="514">
        <f t="shared" si="93"/>
        <v>0</v>
      </c>
      <c r="N88" s="270">
        <f t="shared" si="94"/>
        <v>0</v>
      </c>
      <c r="O88" s="270">
        <f t="shared" si="94"/>
        <v>0</v>
      </c>
      <c r="P88" s="270">
        <f t="shared" si="94"/>
        <v>0</v>
      </c>
      <c r="Q88" s="270">
        <f t="shared" si="94"/>
        <v>0</v>
      </c>
      <c r="R88" s="271">
        <f t="shared" si="94"/>
        <v>0</v>
      </c>
      <c r="S88" s="2246">
        <v>0</v>
      </c>
      <c r="T88" s="514">
        <f t="shared" si="95"/>
        <v>0</v>
      </c>
      <c r="U88" s="270">
        <f t="shared" si="96"/>
        <v>0</v>
      </c>
      <c r="V88" s="270">
        <f t="shared" si="96"/>
        <v>0</v>
      </c>
      <c r="W88" s="270">
        <f t="shared" si="96"/>
        <v>0</v>
      </c>
      <c r="X88" s="270">
        <f t="shared" si="96"/>
        <v>0</v>
      </c>
      <c r="Y88" s="271">
        <f t="shared" si="96"/>
        <v>0</v>
      </c>
      <c r="Z88" s="2246">
        <f t="shared" si="97"/>
        <v>0</v>
      </c>
      <c r="AA88" s="3080"/>
      <c r="AB88" s="3094"/>
      <c r="AC88" s="3094"/>
      <c r="AD88" s="3094"/>
      <c r="AE88" s="3094"/>
      <c r="AF88" s="3095"/>
      <c r="AG88" s="307"/>
    </row>
    <row r="89" spans="1:33" s="339" customFormat="1">
      <c r="A89" s="266"/>
      <c r="B89" s="1833">
        <v>2040206</v>
      </c>
      <c r="C89" s="1834">
        <v>0.02</v>
      </c>
      <c r="D89" s="1838" t="s">
        <v>593</v>
      </c>
      <c r="E89" s="2246">
        <v>0</v>
      </c>
      <c r="F89" s="514">
        <f t="shared" si="91"/>
        <v>0</v>
      </c>
      <c r="G89" s="270">
        <f t="shared" si="92"/>
        <v>0</v>
      </c>
      <c r="H89" s="270">
        <f t="shared" si="92"/>
        <v>0</v>
      </c>
      <c r="I89" s="270">
        <f t="shared" si="92"/>
        <v>0</v>
      </c>
      <c r="J89" s="270">
        <f t="shared" si="92"/>
        <v>0</v>
      </c>
      <c r="K89" s="333">
        <f t="shared" si="92"/>
        <v>0</v>
      </c>
      <c r="L89" s="2246">
        <v>0</v>
      </c>
      <c r="M89" s="514">
        <f t="shared" si="93"/>
        <v>0.08</v>
      </c>
      <c r="N89" s="270">
        <f t="shared" si="94"/>
        <v>0.08</v>
      </c>
      <c r="O89" s="270">
        <f t="shared" si="94"/>
        <v>0.08</v>
      </c>
      <c r="P89" s="270">
        <f t="shared" si="94"/>
        <v>0.08</v>
      </c>
      <c r="Q89" s="270">
        <f t="shared" si="94"/>
        <v>0.08</v>
      </c>
      <c r="R89" s="271">
        <f t="shared" si="94"/>
        <v>0.08</v>
      </c>
      <c r="S89" s="2246">
        <v>0</v>
      </c>
      <c r="T89" s="514">
        <f t="shared" si="95"/>
        <v>0</v>
      </c>
      <c r="U89" s="270">
        <f t="shared" si="96"/>
        <v>0</v>
      </c>
      <c r="V89" s="270">
        <f t="shared" si="96"/>
        <v>0</v>
      </c>
      <c r="W89" s="270">
        <f t="shared" si="96"/>
        <v>0</v>
      </c>
      <c r="X89" s="270">
        <f t="shared" si="96"/>
        <v>0</v>
      </c>
      <c r="Y89" s="271">
        <f t="shared" si="96"/>
        <v>0</v>
      </c>
      <c r="Z89" s="2246">
        <f t="shared" si="97"/>
        <v>0</v>
      </c>
      <c r="AA89" s="3080"/>
      <c r="AB89" s="3094"/>
      <c r="AC89" s="3094"/>
      <c r="AD89" s="3094"/>
      <c r="AE89" s="3094"/>
      <c r="AF89" s="3095"/>
      <c r="AG89" s="307"/>
    </row>
    <row r="90" spans="1:33" s="339" customFormat="1" ht="25.5">
      <c r="A90" s="266"/>
      <c r="B90" s="1833">
        <v>2040207</v>
      </c>
      <c r="C90" s="1834">
        <v>0.04</v>
      </c>
      <c r="D90" s="1838" t="s">
        <v>594</v>
      </c>
      <c r="E90" s="2246">
        <v>0</v>
      </c>
      <c r="F90" s="514">
        <f t="shared" si="91"/>
        <v>0</v>
      </c>
      <c r="G90" s="270">
        <f t="shared" si="92"/>
        <v>0</v>
      </c>
      <c r="H90" s="270">
        <f t="shared" si="92"/>
        <v>0</v>
      </c>
      <c r="I90" s="270">
        <f t="shared" si="92"/>
        <v>0</v>
      </c>
      <c r="J90" s="270">
        <f t="shared" si="92"/>
        <v>0</v>
      </c>
      <c r="K90" s="333">
        <f t="shared" si="92"/>
        <v>0</v>
      </c>
      <c r="L90" s="2246">
        <v>0</v>
      </c>
      <c r="M90" s="514">
        <f t="shared" si="93"/>
        <v>0</v>
      </c>
      <c r="N90" s="270">
        <f t="shared" si="94"/>
        <v>0</v>
      </c>
      <c r="O90" s="270">
        <f t="shared" si="94"/>
        <v>0</v>
      </c>
      <c r="P90" s="270">
        <f t="shared" si="94"/>
        <v>0</v>
      </c>
      <c r="Q90" s="270">
        <f t="shared" si="94"/>
        <v>0</v>
      </c>
      <c r="R90" s="271">
        <f t="shared" si="94"/>
        <v>0</v>
      </c>
      <c r="S90" s="2246">
        <v>0</v>
      </c>
      <c r="T90" s="514">
        <f t="shared" si="95"/>
        <v>0</v>
      </c>
      <c r="U90" s="270">
        <f t="shared" si="96"/>
        <v>0</v>
      </c>
      <c r="V90" s="270">
        <f t="shared" si="96"/>
        <v>0</v>
      </c>
      <c r="W90" s="270">
        <f t="shared" si="96"/>
        <v>0</v>
      </c>
      <c r="X90" s="270">
        <f t="shared" si="96"/>
        <v>0</v>
      </c>
      <c r="Y90" s="271">
        <f t="shared" si="96"/>
        <v>0</v>
      </c>
      <c r="Z90" s="2246">
        <f t="shared" si="97"/>
        <v>0</v>
      </c>
      <c r="AA90" s="3080"/>
      <c r="AB90" s="3094"/>
      <c r="AC90" s="3094"/>
      <c r="AD90" s="3094"/>
      <c r="AE90" s="3094"/>
      <c r="AF90" s="3095"/>
      <c r="AG90" s="307"/>
    </row>
    <row r="91" spans="1:33" s="339" customFormat="1">
      <c r="A91" s="266"/>
      <c r="B91" s="1833">
        <v>2040208</v>
      </c>
      <c r="C91" s="1834">
        <v>0.04</v>
      </c>
      <c r="D91" s="1838" t="s">
        <v>595</v>
      </c>
      <c r="E91" s="2246">
        <v>0</v>
      </c>
      <c r="F91" s="514">
        <f t="shared" si="91"/>
        <v>0.64</v>
      </c>
      <c r="G91" s="270">
        <f t="shared" si="92"/>
        <v>0.64</v>
      </c>
      <c r="H91" s="270">
        <f t="shared" si="92"/>
        <v>0.64</v>
      </c>
      <c r="I91" s="270">
        <f t="shared" si="92"/>
        <v>0.64</v>
      </c>
      <c r="J91" s="270">
        <f t="shared" si="92"/>
        <v>0.64</v>
      </c>
      <c r="K91" s="333">
        <f t="shared" si="92"/>
        <v>0.64</v>
      </c>
      <c r="L91" s="2246">
        <v>0</v>
      </c>
      <c r="M91" s="514">
        <f t="shared" si="93"/>
        <v>0</v>
      </c>
      <c r="N91" s="270">
        <f t="shared" si="94"/>
        <v>0</v>
      </c>
      <c r="O91" s="270">
        <f t="shared" si="94"/>
        <v>0</v>
      </c>
      <c r="P91" s="270">
        <f t="shared" si="94"/>
        <v>0</v>
      </c>
      <c r="Q91" s="270">
        <f t="shared" si="94"/>
        <v>0</v>
      </c>
      <c r="R91" s="271">
        <f t="shared" si="94"/>
        <v>0</v>
      </c>
      <c r="S91" s="2246">
        <v>0</v>
      </c>
      <c r="T91" s="514">
        <f t="shared" si="95"/>
        <v>0</v>
      </c>
      <c r="U91" s="270">
        <f t="shared" si="96"/>
        <v>0</v>
      </c>
      <c r="V91" s="270">
        <f t="shared" si="96"/>
        <v>0</v>
      </c>
      <c r="W91" s="270">
        <f t="shared" si="96"/>
        <v>0</v>
      </c>
      <c r="X91" s="270">
        <f t="shared" si="96"/>
        <v>0</v>
      </c>
      <c r="Y91" s="271">
        <f t="shared" si="96"/>
        <v>0</v>
      </c>
      <c r="Z91" s="2246">
        <f t="shared" si="97"/>
        <v>0</v>
      </c>
      <c r="AA91" s="3080"/>
      <c r="AB91" s="3094"/>
      <c r="AC91" s="3094"/>
      <c r="AD91" s="3094"/>
      <c r="AE91" s="3094"/>
      <c r="AF91" s="3095"/>
      <c r="AG91" s="307"/>
    </row>
    <row r="92" spans="1:33" s="339" customFormat="1">
      <c r="A92" s="266"/>
      <c r="B92" s="1833">
        <v>20403</v>
      </c>
      <c r="C92" s="1834">
        <v>0.04</v>
      </c>
      <c r="D92" s="1822" t="s">
        <v>1524</v>
      </c>
      <c r="E92" s="2246">
        <v>0</v>
      </c>
      <c r="F92" s="514">
        <f t="shared" si="91"/>
        <v>2.88</v>
      </c>
      <c r="G92" s="270">
        <f t="shared" ref="G92" si="98">F92-(G43*$C92)</f>
        <v>2.88</v>
      </c>
      <c r="H92" s="270">
        <f t="shared" ref="H92" si="99">G92-(H43*$C92)</f>
        <v>2.88</v>
      </c>
      <c r="I92" s="270">
        <f t="shared" ref="I92" si="100">H92-(I43*$C92)</f>
        <v>2.88</v>
      </c>
      <c r="J92" s="270">
        <f t="shared" ref="J92" si="101">I92-(J43*$C92)</f>
        <v>2.88</v>
      </c>
      <c r="K92" s="333">
        <f t="shared" ref="K92" si="102">J92-(K43*$C92)</f>
        <v>2.88</v>
      </c>
      <c r="L92" s="2246">
        <v>0</v>
      </c>
      <c r="M92" s="514">
        <f t="shared" ref="M92:M93" si="103">($L43*$C92)-(M43*$C92)</f>
        <v>0.08</v>
      </c>
      <c r="N92" s="270">
        <f t="shared" ref="N92" si="104">M92-(N43*$C92)</f>
        <v>0.08</v>
      </c>
      <c r="O92" s="270">
        <f t="shared" ref="O92" si="105">N92-(O43*$C92)</f>
        <v>0.08</v>
      </c>
      <c r="P92" s="270">
        <f t="shared" ref="P92" si="106">O92-(P43*$C92)</f>
        <v>0.08</v>
      </c>
      <c r="Q92" s="270">
        <f t="shared" ref="Q92" si="107">P92-(Q43*$C92)</f>
        <v>0.08</v>
      </c>
      <c r="R92" s="271">
        <f t="shared" ref="R92" si="108">Q92-(R43*$C92)</f>
        <v>0.08</v>
      </c>
      <c r="S92" s="2246">
        <v>0</v>
      </c>
      <c r="T92" s="514">
        <f t="shared" ref="T92:T93" si="109">($S43*$C92)-(T43*$C92)</f>
        <v>0.12</v>
      </c>
      <c r="U92" s="270">
        <f t="shared" ref="U92" si="110">T92-(U43*$C92)</f>
        <v>0.12</v>
      </c>
      <c r="V92" s="270">
        <f t="shared" ref="V92" si="111">U92-(V43*$C92)</f>
        <v>0.12</v>
      </c>
      <c r="W92" s="270">
        <f t="shared" ref="W92" si="112">V92-(W43*$C92)</f>
        <v>0.12</v>
      </c>
      <c r="X92" s="270">
        <f t="shared" ref="X92" si="113">W92-(X43*$C92)</f>
        <v>0.12</v>
      </c>
      <c r="Y92" s="271">
        <f t="shared" ref="Y92" si="114">X92-(Y43*$C92)</f>
        <v>0.12</v>
      </c>
      <c r="Z92" s="2246">
        <f t="shared" si="97"/>
        <v>0</v>
      </c>
      <c r="AA92" s="3080"/>
      <c r="AB92" s="3094"/>
      <c r="AC92" s="3094"/>
      <c r="AD92" s="3094"/>
      <c r="AE92" s="3094"/>
      <c r="AF92" s="3095"/>
      <c r="AG92" s="307"/>
    </row>
    <row r="93" spans="1:33" s="339" customFormat="1" ht="25.5">
      <c r="A93" s="266"/>
      <c r="B93" s="1833" t="s">
        <v>1525</v>
      </c>
      <c r="C93" s="1834">
        <v>0.04</v>
      </c>
      <c r="D93" s="1822" t="s">
        <v>1526</v>
      </c>
      <c r="E93" s="2246">
        <v>0</v>
      </c>
      <c r="F93" s="514">
        <f t="shared" ref="F93" si="115">($E44*$C93)-(F44*$C93)</f>
        <v>0</v>
      </c>
      <c r="G93" s="270">
        <f t="shared" ref="G93:K93" si="116">F93-(G44*$C93)</f>
        <v>0</v>
      </c>
      <c r="H93" s="270">
        <f t="shared" si="116"/>
        <v>0</v>
      </c>
      <c r="I93" s="270">
        <f t="shared" si="116"/>
        <v>0</v>
      </c>
      <c r="J93" s="270">
        <f t="shared" si="116"/>
        <v>0</v>
      </c>
      <c r="K93" s="333">
        <f t="shared" si="116"/>
        <v>0</v>
      </c>
      <c r="L93" s="2246">
        <v>0</v>
      </c>
      <c r="M93" s="514">
        <f t="shared" si="103"/>
        <v>0</v>
      </c>
      <c r="N93" s="270">
        <f t="shared" ref="N93:R93" si="117">M93-(N44*$C93)</f>
        <v>0</v>
      </c>
      <c r="O93" s="270">
        <f t="shared" si="117"/>
        <v>0</v>
      </c>
      <c r="P93" s="270">
        <f t="shared" si="117"/>
        <v>0</v>
      </c>
      <c r="Q93" s="270">
        <f t="shared" si="117"/>
        <v>0</v>
      </c>
      <c r="R93" s="271">
        <f t="shared" si="117"/>
        <v>0</v>
      </c>
      <c r="S93" s="2246">
        <v>0</v>
      </c>
      <c r="T93" s="514">
        <f t="shared" si="109"/>
        <v>0</v>
      </c>
      <c r="U93" s="270">
        <f t="shared" ref="U93:Y93" si="118">T93-(U44*$C93)</f>
        <v>0</v>
      </c>
      <c r="V93" s="270">
        <f t="shared" si="118"/>
        <v>0</v>
      </c>
      <c r="W93" s="270">
        <f t="shared" si="118"/>
        <v>0</v>
      </c>
      <c r="X93" s="270">
        <f t="shared" si="118"/>
        <v>0</v>
      </c>
      <c r="Y93" s="271">
        <f t="shared" si="118"/>
        <v>0</v>
      </c>
      <c r="Z93" s="2246">
        <f t="shared" si="97"/>
        <v>0</v>
      </c>
      <c r="AA93" s="3080"/>
      <c r="AB93" s="3094"/>
      <c r="AC93" s="3094"/>
      <c r="AD93" s="3094"/>
      <c r="AE93" s="3094"/>
      <c r="AF93" s="3095"/>
      <c r="AG93" s="307"/>
    </row>
    <row r="94" spans="1:33" s="339" customFormat="1">
      <c r="A94" s="308">
        <v>5</v>
      </c>
      <c r="B94" s="1831">
        <v>205</v>
      </c>
      <c r="C94" s="1831"/>
      <c r="D94" s="1835" t="s">
        <v>275</v>
      </c>
      <c r="E94" s="579">
        <f>SUM(E95:E98)</f>
        <v>3.6</v>
      </c>
      <c r="F94" s="580">
        <f>SUM(F95:F98)</f>
        <v>9.8000000000000007</v>
      </c>
      <c r="G94" s="581">
        <f>SUM(G95:G98)</f>
        <v>9.8000000000000007</v>
      </c>
      <c r="H94" s="581">
        <f t="shared" ref="H94:K94" si="119">SUM(H95:H98)</f>
        <v>9.8000000000000007</v>
      </c>
      <c r="I94" s="581">
        <f t="shared" si="119"/>
        <v>0.80000000000000138</v>
      </c>
      <c r="J94" s="581">
        <f t="shared" si="119"/>
        <v>-21.2</v>
      </c>
      <c r="K94" s="2038">
        <f t="shared" si="119"/>
        <v>-21.2</v>
      </c>
      <c r="L94" s="583">
        <f>SUM(L95:L98)</f>
        <v>0</v>
      </c>
      <c r="M94" s="584">
        <f>SUM(M95:M98)</f>
        <v>0.2</v>
      </c>
      <c r="N94" s="581">
        <f>SUM(N95:N98)</f>
        <v>0.2</v>
      </c>
      <c r="O94" s="581">
        <f t="shared" ref="O94:R94" si="120">SUM(O95:O98)</f>
        <v>0.2</v>
      </c>
      <c r="P94" s="581">
        <f t="shared" si="120"/>
        <v>0.2</v>
      </c>
      <c r="Q94" s="581">
        <f t="shared" si="120"/>
        <v>0.2</v>
      </c>
      <c r="R94" s="582">
        <f t="shared" si="120"/>
        <v>0.2</v>
      </c>
      <c r="S94" s="583">
        <f>SUM(S95:S98)</f>
        <v>0</v>
      </c>
      <c r="T94" s="585">
        <f>SUM(T95:T98)</f>
        <v>2.2000000000000002</v>
      </c>
      <c r="U94" s="581">
        <f>SUM(U95:U98)</f>
        <v>2.2000000000000002</v>
      </c>
      <c r="V94" s="581">
        <f t="shared" ref="V94:Y94" si="121">SUM(V95:V98)</f>
        <v>2.2000000000000002</v>
      </c>
      <c r="W94" s="581">
        <f t="shared" si="121"/>
        <v>2.2000000000000002</v>
      </c>
      <c r="X94" s="581">
        <f t="shared" si="121"/>
        <v>1.2000000000000002</v>
      </c>
      <c r="Y94" s="582">
        <f t="shared" si="121"/>
        <v>-3.8</v>
      </c>
      <c r="Z94" s="583">
        <f>SUM(Z95:Z98)</f>
        <v>3.6</v>
      </c>
      <c r="AA94" s="3080"/>
      <c r="AB94" s="3094"/>
      <c r="AC94" s="3094"/>
      <c r="AD94" s="3094"/>
      <c r="AE94" s="3094"/>
      <c r="AF94" s="3095"/>
      <c r="AG94" s="307"/>
    </row>
    <row r="95" spans="1:33" s="339" customFormat="1">
      <c r="A95" s="275"/>
      <c r="B95" s="1820">
        <v>20501</v>
      </c>
      <c r="C95" s="1821">
        <v>0.08</v>
      </c>
      <c r="D95" s="1843" t="s">
        <v>765</v>
      </c>
      <c r="E95" s="2246">
        <v>0</v>
      </c>
      <c r="F95" s="514">
        <f>($E46*$C95)-(F46*$C95)</f>
        <v>0</v>
      </c>
      <c r="G95" s="270">
        <f t="shared" ref="G95:K98" si="122">F95-(G46*$C95)</f>
        <v>0</v>
      </c>
      <c r="H95" s="270">
        <f t="shared" si="122"/>
        <v>0</v>
      </c>
      <c r="I95" s="270">
        <f t="shared" si="122"/>
        <v>0</v>
      </c>
      <c r="J95" s="270">
        <f t="shared" si="122"/>
        <v>0</v>
      </c>
      <c r="K95" s="333">
        <f t="shared" si="122"/>
        <v>0</v>
      </c>
      <c r="L95" s="2246">
        <v>0</v>
      </c>
      <c r="M95" s="514">
        <f>($L46*$C95)-(M46*$C95)</f>
        <v>0</v>
      </c>
      <c r="N95" s="270">
        <f t="shared" ref="N95:R98" si="123">M95-(N46*$C95)</f>
        <v>0</v>
      </c>
      <c r="O95" s="270">
        <f t="shared" si="123"/>
        <v>0</v>
      </c>
      <c r="P95" s="270">
        <f t="shared" si="123"/>
        <v>0</v>
      </c>
      <c r="Q95" s="270">
        <f t="shared" si="123"/>
        <v>0</v>
      </c>
      <c r="R95" s="271">
        <f t="shared" si="123"/>
        <v>0</v>
      </c>
      <c r="S95" s="2246">
        <v>0</v>
      </c>
      <c r="T95" s="514">
        <f>($S46*$C95)-(T46*$C95)</f>
        <v>0</v>
      </c>
      <c r="U95" s="270">
        <f t="shared" ref="U95:Y98" si="124">T95-(U46*$C95)</f>
        <v>0</v>
      </c>
      <c r="V95" s="270">
        <f t="shared" si="124"/>
        <v>0</v>
      </c>
      <c r="W95" s="270">
        <f t="shared" si="124"/>
        <v>0</v>
      </c>
      <c r="X95" s="270">
        <f t="shared" si="124"/>
        <v>0</v>
      </c>
      <c r="Y95" s="271">
        <f t="shared" si="124"/>
        <v>0</v>
      </c>
      <c r="Z95" s="2246">
        <f t="shared" ref="Z95:Z98" si="125">E95+L95+S95</f>
        <v>0</v>
      </c>
      <c r="AA95" s="3080"/>
      <c r="AB95" s="3094"/>
      <c r="AC95" s="3094"/>
      <c r="AD95" s="3094"/>
      <c r="AE95" s="3094"/>
      <c r="AF95" s="3095"/>
      <c r="AG95" s="307"/>
    </row>
    <row r="96" spans="1:33" s="339" customFormat="1">
      <c r="A96" s="275"/>
      <c r="B96" s="1820">
        <v>20502</v>
      </c>
      <c r="C96" s="1821">
        <v>0.1</v>
      </c>
      <c r="D96" s="1843" t="s">
        <v>583</v>
      </c>
      <c r="E96" s="2246">
        <v>3.6</v>
      </c>
      <c r="F96" s="514">
        <f>($E47*$C96)-(F47*$C96)</f>
        <v>9.6000000000000014</v>
      </c>
      <c r="G96" s="270">
        <f t="shared" si="122"/>
        <v>9.6000000000000014</v>
      </c>
      <c r="H96" s="270">
        <f t="shared" si="122"/>
        <v>9.6000000000000014</v>
      </c>
      <c r="I96" s="270">
        <f t="shared" si="122"/>
        <v>9.6000000000000014</v>
      </c>
      <c r="J96" s="270">
        <f t="shared" si="122"/>
        <v>9.6000000000000014</v>
      </c>
      <c r="K96" s="333">
        <f t="shared" si="122"/>
        <v>9.6000000000000014</v>
      </c>
      <c r="L96" s="2246">
        <v>0</v>
      </c>
      <c r="M96" s="514">
        <f>($L47*$C96)-(M47*$C96)</f>
        <v>0.2</v>
      </c>
      <c r="N96" s="270">
        <f t="shared" si="123"/>
        <v>0.2</v>
      </c>
      <c r="O96" s="270">
        <f t="shared" si="123"/>
        <v>0.2</v>
      </c>
      <c r="P96" s="270">
        <f t="shared" si="123"/>
        <v>0.2</v>
      </c>
      <c r="Q96" s="270">
        <f t="shared" si="123"/>
        <v>0.2</v>
      </c>
      <c r="R96" s="271">
        <f t="shared" si="123"/>
        <v>0.2</v>
      </c>
      <c r="S96" s="2246">
        <v>0</v>
      </c>
      <c r="T96" s="514">
        <f>($S47*$C96)-(T47*$C96)</f>
        <v>2.2000000000000002</v>
      </c>
      <c r="U96" s="270">
        <f t="shared" si="124"/>
        <v>2.2000000000000002</v>
      </c>
      <c r="V96" s="270">
        <f t="shared" si="124"/>
        <v>2.2000000000000002</v>
      </c>
      <c r="W96" s="270">
        <f t="shared" si="124"/>
        <v>2.2000000000000002</v>
      </c>
      <c r="X96" s="270">
        <f t="shared" si="124"/>
        <v>1.2000000000000002</v>
      </c>
      <c r="Y96" s="271">
        <f t="shared" si="124"/>
        <v>-3.8</v>
      </c>
      <c r="Z96" s="2246">
        <f t="shared" si="125"/>
        <v>3.6</v>
      </c>
      <c r="AA96" s="3080"/>
      <c r="AB96" s="3094"/>
      <c r="AC96" s="3094"/>
      <c r="AD96" s="3094"/>
      <c r="AE96" s="3094"/>
      <c r="AF96" s="3095"/>
      <c r="AG96" s="307"/>
    </row>
    <row r="97" spans="1:33" s="339" customFormat="1">
      <c r="A97" s="275"/>
      <c r="B97" s="1820">
        <v>20503</v>
      </c>
      <c r="C97" s="1821">
        <v>0.1</v>
      </c>
      <c r="D97" s="1822" t="s">
        <v>584</v>
      </c>
      <c r="E97" s="2246">
        <v>0</v>
      </c>
      <c r="F97" s="514">
        <f>($E48*$C97)-(F48*$C97)</f>
        <v>0</v>
      </c>
      <c r="G97" s="270">
        <f t="shared" si="122"/>
        <v>0</v>
      </c>
      <c r="H97" s="270">
        <f t="shared" si="122"/>
        <v>0</v>
      </c>
      <c r="I97" s="270">
        <f t="shared" si="122"/>
        <v>-9</v>
      </c>
      <c r="J97" s="270">
        <f t="shared" si="122"/>
        <v>-31</v>
      </c>
      <c r="K97" s="333">
        <f t="shared" si="122"/>
        <v>-31</v>
      </c>
      <c r="L97" s="2246">
        <v>0</v>
      </c>
      <c r="M97" s="514">
        <f>($L48*$C97)-(M48*$C97)</f>
        <v>0</v>
      </c>
      <c r="N97" s="270">
        <f t="shared" si="123"/>
        <v>0</v>
      </c>
      <c r="O97" s="270">
        <f t="shared" si="123"/>
        <v>0</v>
      </c>
      <c r="P97" s="270">
        <f t="shared" si="123"/>
        <v>0</v>
      </c>
      <c r="Q97" s="270">
        <f t="shared" si="123"/>
        <v>0</v>
      </c>
      <c r="R97" s="271">
        <f t="shared" si="123"/>
        <v>0</v>
      </c>
      <c r="S97" s="2246">
        <v>0</v>
      </c>
      <c r="T97" s="514">
        <f>($S48*$C97)-(T48*$C97)</f>
        <v>0</v>
      </c>
      <c r="U97" s="270">
        <f t="shared" si="124"/>
        <v>0</v>
      </c>
      <c r="V97" s="270">
        <f t="shared" si="124"/>
        <v>0</v>
      </c>
      <c r="W97" s="270">
        <f t="shared" si="124"/>
        <v>0</v>
      </c>
      <c r="X97" s="270">
        <f t="shared" si="124"/>
        <v>0</v>
      </c>
      <c r="Y97" s="271">
        <f t="shared" si="124"/>
        <v>0</v>
      </c>
      <c r="Z97" s="2246">
        <f t="shared" si="125"/>
        <v>0</v>
      </c>
      <c r="AA97" s="3080"/>
      <c r="AB97" s="3094"/>
      <c r="AC97" s="3094"/>
      <c r="AD97" s="3094"/>
      <c r="AE97" s="3094"/>
      <c r="AF97" s="3095"/>
      <c r="AG97" s="307"/>
    </row>
    <row r="98" spans="1:33" s="339" customFormat="1">
      <c r="A98" s="275"/>
      <c r="B98" s="1820">
        <v>20504</v>
      </c>
      <c r="C98" s="1821">
        <v>0.1</v>
      </c>
      <c r="D98" s="1822" t="s">
        <v>759</v>
      </c>
      <c r="E98" s="2246">
        <v>0</v>
      </c>
      <c r="F98" s="514">
        <f>($E49*$C98)-(F49*$C98)</f>
        <v>0.2</v>
      </c>
      <c r="G98" s="270">
        <f t="shared" si="122"/>
        <v>0.2</v>
      </c>
      <c r="H98" s="270">
        <f t="shared" si="122"/>
        <v>0.2</v>
      </c>
      <c r="I98" s="270">
        <f t="shared" si="122"/>
        <v>0.2</v>
      </c>
      <c r="J98" s="270">
        <f t="shared" si="122"/>
        <v>0.2</v>
      </c>
      <c r="K98" s="333">
        <f t="shared" si="122"/>
        <v>0.2</v>
      </c>
      <c r="L98" s="2246">
        <v>0</v>
      </c>
      <c r="M98" s="514">
        <f>($L49*$C98)-(M49*$C98)</f>
        <v>0</v>
      </c>
      <c r="N98" s="270">
        <f t="shared" si="123"/>
        <v>0</v>
      </c>
      <c r="O98" s="270">
        <f t="shared" si="123"/>
        <v>0</v>
      </c>
      <c r="P98" s="270">
        <f t="shared" si="123"/>
        <v>0</v>
      </c>
      <c r="Q98" s="270">
        <f t="shared" si="123"/>
        <v>0</v>
      </c>
      <c r="R98" s="271">
        <f t="shared" si="123"/>
        <v>0</v>
      </c>
      <c r="S98" s="2246">
        <v>0</v>
      </c>
      <c r="T98" s="514">
        <f>($S49*$C98)-(T49*$C98)</f>
        <v>0</v>
      </c>
      <c r="U98" s="270">
        <f t="shared" si="124"/>
        <v>0</v>
      </c>
      <c r="V98" s="270">
        <f t="shared" si="124"/>
        <v>0</v>
      </c>
      <c r="W98" s="270">
        <f t="shared" si="124"/>
        <v>0</v>
      </c>
      <c r="X98" s="270">
        <f t="shared" si="124"/>
        <v>0</v>
      </c>
      <c r="Y98" s="271">
        <f t="shared" si="124"/>
        <v>0</v>
      </c>
      <c r="Z98" s="2246">
        <f t="shared" si="125"/>
        <v>0</v>
      </c>
      <c r="AA98" s="3080"/>
      <c r="AB98" s="3094"/>
      <c r="AC98" s="3094"/>
      <c r="AD98" s="3094"/>
      <c r="AE98" s="3094"/>
      <c r="AF98" s="3095"/>
      <c r="AG98" s="307"/>
    </row>
    <row r="99" spans="1:33" s="262" customFormat="1">
      <c r="A99" s="323">
        <v>6</v>
      </c>
      <c r="B99" s="1844">
        <v>206</v>
      </c>
      <c r="C99" s="1845">
        <v>0.1</v>
      </c>
      <c r="D99" s="1841" t="s">
        <v>564</v>
      </c>
      <c r="E99" s="579">
        <f>SUM(E100:E102)</f>
        <v>2.2000000000000002</v>
      </c>
      <c r="F99" s="580">
        <f>SUM(F100:F102)</f>
        <v>4.1000000000000005</v>
      </c>
      <c r="G99" s="581">
        <f>SUM(G100:G102)</f>
        <v>4.1000000000000005</v>
      </c>
      <c r="H99" s="581">
        <f t="shared" ref="H99:Z99" si="126">SUM(H100:H102)</f>
        <v>4.1000000000000005</v>
      </c>
      <c r="I99" s="581">
        <f t="shared" si="126"/>
        <v>4.1000000000000005</v>
      </c>
      <c r="J99" s="581">
        <f t="shared" si="126"/>
        <v>3.1000000000000005</v>
      </c>
      <c r="K99" s="2038">
        <f t="shared" si="126"/>
        <v>-7.8999999999999995</v>
      </c>
      <c r="L99" s="583">
        <f t="shared" si="126"/>
        <v>0</v>
      </c>
      <c r="M99" s="584">
        <f t="shared" si="126"/>
        <v>0</v>
      </c>
      <c r="N99" s="581">
        <f t="shared" si="126"/>
        <v>0</v>
      </c>
      <c r="O99" s="581">
        <f t="shared" si="126"/>
        <v>0</v>
      </c>
      <c r="P99" s="581">
        <f t="shared" si="126"/>
        <v>0</v>
      </c>
      <c r="Q99" s="581">
        <f t="shared" si="126"/>
        <v>0</v>
      </c>
      <c r="R99" s="582">
        <f t="shared" si="126"/>
        <v>0</v>
      </c>
      <c r="S99" s="583">
        <f t="shared" si="126"/>
        <v>0</v>
      </c>
      <c r="T99" s="585">
        <f t="shared" si="126"/>
        <v>0.30000000000000004</v>
      </c>
      <c r="U99" s="581">
        <f t="shared" si="126"/>
        <v>-1.7</v>
      </c>
      <c r="V99" s="581">
        <f t="shared" si="126"/>
        <v>-2.7</v>
      </c>
      <c r="W99" s="581">
        <f t="shared" si="126"/>
        <v>-2.7</v>
      </c>
      <c r="X99" s="581">
        <f t="shared" si="126"/>
        <v>-2.7</v>
      </c>
      <c r="Y99" s="582">
        <f t="shared" si="126"/>
        <v>-2.7</v>
      </c>
      <c r="Z99" s="583">
        <f t="shared" si="126"/>
        <v>2.2000000000000002</v>
      </c>
      <c r="AA99" s="3080"/>
      <c r="AB99" s="3094"/>
      <c r="AC99" s="3094"/>
      <c r="AD99" s="3094"/>
      <c r="AE99" s="3094"/>
      <c r="AF99" s="3095"/>
      <c r="AG99" s="307"/>
    </row>
    <row r="100" spans="1:33" s="339" customFormat="1">
      <c r="A100" s="323"/>
      <c r="B100" s="1820">
        <v>20601</v>
      </c>
      <c r="C100" s="1821">
        <v>0.1</v>
      </c>
      <c r="D100" s="1822" t="s">
        <v>766</v>
      </c>
      <c r="E100" s="2246">
        <v>2.2000000000000002</v>
      </c>
      <c r="F100" s="514">
        <f t="shared" ref="F100:F108" si="127">($E51*$C100)-(F51*$C100)</f>
        <v>3.9000000000000004</v>
      </c>
      <c r="G100" s="270">
        <f t="shared" ref="G100:K108" si="128">F100-(G51*$C100)</f>
        <v>3.9000000000000004</v>
      </c>
      <c r="H100" s="270">
        <f t="shared" si="128"/>
        <v>3.9000000000000004</v>
      </c>
      <c r="I100" s="270">
        <f t="shared" si="128"/>
        <v>3.9000000000000004</v>
      </c>
      <c r="J100" s="270">
        <f t="shared" si="128"/>
        <v>3.9000000000000004</v>
      </c>
      <c r="K100" s="333">
        <f t="shared" si="128"/>
        <v>-3.0999999999999996</v>
      </c>
      <c r="L100" s="2246">
        <v>0</v>
      </c>
      <c r="M100" s="269">
        <f t="shared" ref="M100:M108" si="129">($L51*$C100)-(M51*$C100)</f>
        <v>0</v>
      </c>
      <c r="N100" s="270">
        <f t="shared" ref="N100:R108" si="130">M100-(N51*$C100)</f>
        <v>0</v>
      </c>
      <c r="O100" s="270">
        <f t="shared" si="130"/>
        <v>0</v>
      </c>
      <c r="P100" s="270">
        <f t="shared" si="130"/>
        <v>0</v>
      </c>
      <c r="Q100" s="270">
        <f t="shared" si="130"/>
        <v>0</v>
      </c>
      <c r="R100" s="271">
        <f t="shared" si="130"/>
        <v>0</v>
      </c>
      <c r="S100" s="2246">
        <v>0</v>
      </c>
      <c r="T100" s="269">
        <f t="shared" ref="T100:T108" si="131">($S51*$C100)-(T51*$C100)</f>
        <v>0.30000000000000004</v>
      </c>
      <c r="U100" s="270">
        <f t="shared" ref="U100:Y108" si="132">T100-(U51*$C100)</f>
        <v>-0.7</v>
      </c>
      <c r="V100" s="270">
        <f t="shared" si="132"/>
        <v>-1.7</v>
      </c>
      <c r="W100" s="270">
        <f t="shared" si="132"/>
        <v>-1.7</v>
      </c>
      <c r="X100" s="270">
        <f t="shared" si="132"/>
        <v>-1.7</v>
      </c>
      <c r="Y100" s="271">
        <f t="shared" si="132"/>
        <v>-1.7</v>
      </c>
      <c r="Z100" s="2246">
        <f t="shared" ref="Z100:Z108" si="133">E100+L100+S100</f>
        <v>2.2000000000000002</v>
      </c>
      <c r="AA100" s="3080"/>
      <c r="AB100" s="3094"/>
      <c r="AC100" s="3094"/>
      <c r="AD100" s="3094"/>
      <c r="AE100" s="3094"/>
      <c r="AF100" s="3095"/>
      <c r="AG100" s="307"/>
    </row>
    <row r="101" spans="1:33" s="339" customFormat="1">
      <c r="A101" s="323"/>
      <c r="B101" s="1820">
        <v>20602</v>
      </c>
      <c r="C101" s="1821">
        <v>0.1</v>
      </c>
      <c r="D101" s="1822" t="s">
        <v>607</v>
      </c>
      <c r="E101" s="2246">
        <v>0</v>
      </c>
      <c r="F101" s="514">
        <f t="shared" si="127"/>
        <v>0.2</v>
      </c>
      <c r="G101" s="270">
        <f t="shared" si="128"/>
        <v>0.2</v>
      </c>
      <c r="H101" s="270">
        <f t="shared" si="128"/>
        <v>0.2</v>
      </c>
      <c r="I101" s="270">
        <f t="shared" si="128"/>
        <v>0.2</v>
      </c>
      <c r="J101" s="270">
        <f t="shared" si="128"/>
        <v>-0.8</v>
      </c>
      <c r="K101" s="333">
        <f t="shared" si="128"/>
        <v>-4.8</v>
      </c>
      <c r="L101" s="2246">
        <v>0</v>
      </c>
      <c r="M101" s="269">
        <f t="shared" si="129"/>
        <v>0</v>
      </c>
      <c r="N101" s="270">
        <f t="shared" si="130"/>
        <v>0</v>
      </c>
      <c r="O101" s="270">
        <f t="shared" si="130"/>
        <v>0</v>
      </c>
      <c r="P101" s="270">
        <f t="shared" si="130"/>
        <v>0</v>
      </c>
      <c r="Q101" s="270">
        <f t="shared" si="130"/>
        <v>0</v>
      </c>
      <c r="R101" s="271">
        <f t="shared" si="130"/>
        <v>0</v>
      </c>
      <c r="S101" s="2246">
        <v>0</v>
      </c>
      <c r="T101" s="269">
        <f t="shared" si="131"/>
        <v>0</v>
      </c>
      <c r="U101" s="270">
        <f t="shared" si="132"/>
        <v>-1</v>
      </c>
      <c r="V101" s="270">
        <f t="shared" si="132"/>
        <v>-1</v>
      </c>
      <c r="W101" s="270">
        <f t="shared" si="132"/>
        <v>-1</v>
      </c>
      <c r="X101" s="270">
        <f t="shared" si="132"/>
        <v>-1</v>
      </c>
      <c r="Y101" s="271">
        <f t="shared" si="132"/>
        <v>-1</v>
      </c>
      <c r="Z101" s="2246">
        <f t="shared" si="133"/>
        <v>0</v>
      </c>
      <c r="AA101" s="3080"/>
      <c r="AB101" s="3094"/>
      <c r="AC101" s="3094"/>
      <c r="AD101" s="3094"/>
      <c r="AE101" s="3094"/>
      <c r="AF101" s="3095"/>
      <c r="AG101" s="307"/>
    </row>
    <row r="102" spans="1:33" s="339" customFormat="1">
      <c r="A102" s="323"/>
      <c r="B102" s="1820">
        <v>20603</v>
      </c>
      <c r="C102" s="1821">
        <v>0.5</v>
      </c>
      <c r="D102" s="1822" t="s">
        <v>1441</v>
      </c>
      <c r="E102" s="2246">
        <v>0</v>
      </c>
      <c r="F102" s="514">
        <f t="shared" si="127"/>
        <v>0</v>
      </c>
      <c r="G102" s="270">
        <f t="shared" si="128"/>
        <v>0</v>
      </c>
      <c r="H102" s="270">
        <f t="shared" si="128"/>
        <v>0</v>
      </c>
      <c r="I102" s="270">
        <f t="shared" si="128"/>
        <v>0</v>
      </c>
      <c r="J102" s="270">
        <f t="shared" si="128"/>
        <v>0</v>
      </c>
      <c r="K102" s="333">
        <f t="shared" si="128"/>
        <v>0</v>
      </c>
      <c r="L102" s="2246">
        <v>0</v>
      </c>
      <c r="M102" s="269">
        <f t="shared" si="129"/>
        <v>0</v>
      </c>
      <c r="N102" s="270">
        <f t="shared" si="130"/>
        <v>0</v>
      </c>
      <c r="O102" s="270">
        <f t="shared" si="130"/>
        <v>0</v>
      </c>
      <c r="P102" s="270">
        <f t="shared" si="130"/>
        <v>0</v>
      </c>
      <c r="Q102" s="270">
        <f t="shared" si="130"/>
        <v>0</v>
      </c>
      <c r="R102" s="271">
        <f t="shared" si="130"/>
        <v>0</v>
      </c>
      <c r="S102" s="2246">
        <v>0</v>
      </c>
      <c r="T102" s="269">
        <f t="shared" si="131"/>
        <v>0</v>
      </c>
      <c r="U102" s="270">
        <f t="shared" si="132"/>
        <v>0</v>
      </c>
      <c r="V102" s="270">
        <f t="shared" si="132"/>
        <v>0</v>
      </c>
      <c r="W102" s="270">
        <f t="shared" si="132"/>
        <v>0</v>
      </c>
      <c r="X102" s="270">
        <f t="shared" si="132"/>
        <v>0</v>
      </c>
      <c r="Y102" s="271">
        <f t="shared" si="132"/>
        <v>0</v>
      </c>
      <c r="Z102" s="2246">
        <f t="shared" si="133"/>
        <v>0</v>
      </c>
      <c r="AA102" s="3080"/>
      <c r="AB102" s="3094"/>
      <c r="AC102" s="3094"/>
      <c r="AD102" s="3094"/>
      <c r="AE102" s="3094"/>
      <c r="AF102" s="3095"/>
      <c r="AG102" s="307"/>
    </row>
    <row r="103" spans="1:33" s="262" customFormat="1">
      <c r="A103" s="323">
        <v>7</v>
      </c>
      <c r="B103" s="1844">
        <v>208</v>
      </c>
      <c r="C103" s="1845">
        <v>0.2</v>
      </c>
      <c r="D103" s="1841" t="s">
        <v>585</v>
      </c>
      <c r="E103" s="2246">
        <v>1.8</v>
      </c>
      <c r="F103" s="577">
        <f t="shared" si="127"/>
        <v>2.6</v>
      </c>
      <c r="G103" s="325">
        <f t="shared" si="128"/>
        <v>2.6</v>
      </c>
      <c r="H103" s="325">
        <f t="shared" si="128"/>
        <v>-11.4</v>
      </c>
      <c r="I103" s="325">
        <f t="shared" si="128"/>
        <v>-18.399999999999999</v>
      </c>
      <c r="J103" s="325">
        <f t="shared" si="128"/>
        <v>-18.399999999999999</v>
      </c>
      <c r="K103" s="2039">
        <f t="shared" si="128"/>
        <v>-18.399999999999999</v>
      </c>
      <c r="L103" s="2246">
        <v>0</v>
      </c>
      <c r="M103" s="324">
        <f t="shared" si="129"/>
        <v>-1</v>
      </c>
      <c r="N103" s="325">
        <f t="shared" si="130"/>
        <v>-2</v>
      </c>
      <c r="O103" s="325">
        <f t="shared" si="130"/>
        <v>-2</v>
      </c>
      <c r="P103" s="325">
        <f t="shared" si="130"/>
        <v>-2</v>
      </c>
      <c r="Q103" s="325">
        <f t="shared" si="130"/>
        <v>-2</v>
      </c>
      <c r="R103" s="326">
        <f t="shared" si="130"/>
        <v>-2</v>
      </c>
      <c r="S103" s="2246">
        <v>0</v>
      </c>
      <c r="T103" s="327">
        <f t="shared" si="131"/>
        <v>0.4</v>
      </c>
      <c r="U103" s="325">
        <f t="shared" si="132"/>
        <v>0.4</v>
      </c>
      <c r="V103" s="325">
        <f t="shared" si="132"/>
        <v>0.4</v>
      </c>
      <c r="W103" s="325">
        <f t="shared" si="132"/>
        <v>0.4</v>
      </c>
      <c r="X103" s="325">
        <f t="shared" si="132"/>
        <v>0.4</v>
      </c>
      <c r="Y103" s="326">
        <f t="shared" si="132"/>
        <v>0.4</v>
      </c>
      <c r="Z103" s="2246">
        <f t="shared" si="133"/>
        <v>1.8</v>
      </c>
      <c r="AA103" s="3080"/>
      <c r="AB103" s="3094"/>
      <c r="AC103" s="3094"/>
      <c r="AD103" s="3094"/>
      <c r="AE103" s="3094"/>
      <c r="AF103" s="3095"/>
      <c r="AG103" s="307"/>
    </row>
    <row r="104" spans="1:33" s="262" customFormat="1">
      <c r="A104" s="323">
        <v>8</v>
      </c>
      <c r="B104" s="1844">
        <v>209</v>
      </c>
      <c r="C104" s="1845">
        <v>0.1</v>
      </c>
      <c r="D104" s="1841" t="s">
        <v>276</v>
      </c>
      <c r="E104" s="2246">
        <v>0</v>
      </c>
      <c r="F104" s="577">
        <f t="shared" si="127"/>
        <v>0</v>
      </c>
      <c r="G104" s="325">
        <f t="shared" si="128"/>
        <v>0</v>
      </c>
      <c r="H104" s="325">
        <f t="shared" si="128"/>
        <v>0</v>
      </c>
      <c r="I104" s="325">
        <f t="shared" si="128"/>
        <v>0</v>
      </c>
      <c r="J104" s="325">
        <f t="shared" si="128"/>
        <v>0</v>
      </c>
      <c r="K104" s="2039">
        <f t="shared" si="128"/>
        <v>0</v>
      </c>
      <c r="L104" s="2246">
        <v>0</v>
      </c>
      <c r="M104" s="324">
        <f t="shared" si="129"/>
        <v>0</v>
      </c>
      <c r="N104" s="325">
        <f t="shared" si="130"/>
        <v>0</v>
      </c>
      <c r="O104" s="325">
        <f t="shared" si="130"/>
        <v>0</v>
      </c>
      <c r="P104" s="325">
        <f t="shared" si="130"/>
        <v>0</v>
      </c>
      <c r="Q104" s="325">
        <f t="shared" si="130"/>
        <v>0</v>
      </c>
      <c r="R104" s="326">
        <f t="shared" si="130"/>
        <v>0</v>
      </c>
      <c r="S104" s="2246">
        <v>0</v>
      </c>
      <c r="T104" s="327">
        <f t="shared" si="131"/>
        <v>0</v>
      </c>
      <c r="U104" s="325">
        <f t="shared" si="132"/>
        <v>0</v>
      </c>
      <c r="V104" s="325">
        <f t="shared" si="132"/>
        <v>0</v>
      </c>
      <c r="W104" s="325">
        <f t="shared" si="132"/>
        <v>0</v>
      </c>
      <c r="X104" s="325">
        <f t="shared" si="132"/>
        <v>0</v>
      </c>
      <c r="Y104" s="326">
        <f t="shared" si="132"/>
        <v>0</v>
      </c>
      <c r="Z104" s="2246">
        <f t="shared" si="133"/>
        <v>0</v>
      </c>
      <c r="AA104" s="3080"/>
      <c r="AB104" s="3094"/>
      <c r="AC104" s="3094"/>
      <c r="AD104" s="3094"/>
      <c r="AE104" s="3094"/>
      <c r="AF104" s="3095"/>
      <c r="AG104" s="307"/>
    </row>
    <row r="105" spans="1:33" s="262" customFormat="1">
      <c r="A105" s="323">
        <v>9</v>
      </c>
      <c r="B105" s="1844">
        <v>212</v>
      </c>
      <c r="C105" s="1845">
        <v>0.2</v>
      </c>
      <c r="D105" s="1846" t="s">
        <v>277</v>
      </c>
      <c r="E105" s="2246">
        <v>0</v>
      </c>
      <c r="F105" s="577">
        <f t="shared" si="127"/>
        <v>0.4</v>
      </c>
      <c r="G105" s="325">
        <f t="shared" si="128"/>
        <v>-3.6</v>
      </c>
      <c r="H105" s="325">
        <f t="shared" si="128"/>
        <v>-4.5999999999999996</v>
      </c>
      <c r="I105" s="325">
        <f t="shared" si="128"/>
        <v>-5.6</v>
      </c>
      <c r="J105" s="325">
        <f t="shared" si="128"/>
        <v>-5.6</v>
      </c>
      <c r="K105" s="2039">
        <f t="shared" si="128"/>
        <v>-5.6</v>
      </c>
      <c r="L105" s="2246">
        <v>0</v>
      </c>
      <c r="M105" s="324">
        <f t="shared" si="129"/>
        <v>0</v>
      </c>
      <c r="N105" s="325">
        <f t="shared" si="130"/>
        <v>0</v>
      </c>
      <c r="O105" s="325">
        <f t="shared" si="130"/>
        <v>0</v>
      </c>
      <c r="P105" s="325">
        <f t="shared" si="130"/>
        <v>0</v>
      </c>
      <c r="Q105" s="325">
        <f t="shared" si="130"/>
        <v>0</v>
      </c>
      <c r="R105" s="326">
        <f t="shared" si="130"/>
        <v>0</v>
      </c>
      <c r="S105" s="2246">
        <v>0</v>
      </c>
      <c r="T105" s="327">
        <f t="shared" si="131"/>
        <v>-1</v>
      </c>
      <c r="U105" s="325">
        <f t="shared" si="132"/>
        <v>-2</v>
      </c>
      <c r="V105" s="325">
        <f t="shared" si="132"/>
        <v>-2</v>
      </c>
      <c r="W105" s="325">
        <f t="shared" si="132"/>
        <v>-2</v>
      </c>
      <c r="X105" s="325">
        <f t="shared" si="132"/>
        <v>-2</v>
      </c>
      <c r="Y105" s="326">
        <f t="shared" si="132"/>
        <v>-2</v>
      </c>
      <c r="Z105" s="2246">
        <f t="shared" si="133"/>
        <v>0</v>
      </c>
      <c r="AA105" s="3080"/>
      <c r="AB105" s="3094"/>
      <c r="AC105" s="3094"/>
      <c r="AD105" s="3094"/>
      <c r="AE105" s="3094"/>
      <c r="AF105" s="3095"/>
      <c r="AG105" s="307"/>
    </row>
    <row r="106" spans="1:33" s="262" customFormat="1">
      <c r="A106" s="323">
        <v>10</v>
      </c>
      <c r="B106" s="1844">
        <v>213</v>
      </c>
      <c r="C106" s="1845">
        <v>0.2</v>
      </c>
      <c r="D106" s="1835" t="s">
        <v>278</v>
      </c>
      <c r="E106" s="2246">
        <v>0</v>
      </c>
      <c r="F106" s="577">
        <f t="shared" si="127"/>
        <v>0</v>
      </c>
      <c r="G106" s="325">
        <f t="shared" si="128"/>
        <v>0</v>
      </c>
      <c r="H106" s="325">
        <f t="shared" si="128"/>
        <v>0</v>
      </c>
      <c r="I106" s="325">
        <f t="shared" si="128"/>
        <v>0</v>
      </c>
      <c r="J106" s="325">
        <f t="shared" si="128"/>
        <v>0</v>
      </c>
      <c r="K106" s="2039">
        <f t="shared" si="128"/>
        <v>0</v>
      </c>
      <c r="L106" s="2246">
        <v>0</v>
      </c>
      <c r="M106" s="324">
        <f t="shared" si="129"/>
        <v>0</v>
      </c>
      <c r="N106" s="325">
        <f t="shared" si="130"/>
        <v>0</v>
      </c>
      <c r="O106" s="325">
        <f t="shared" si="130"/>
        <v>0</v>
      </c>
      <c r="P106" s="325">
        <f t="shared" si="130"/>
        <v>0</v>
      </c>
      <c r="Q106" s="325">
        <f t="shared" si="130"/>
        <v>0</v>
      </c>
      <c r="R106" s="326">
        <f t="shared" si="130"/>
        <v>0</v>
      </c>
      <c r="S106" s="2246">
        <v>0</v>
      </c>
      <c r="T106" s="327">
        <f t="shared" si="131"/>
        <v>0</v>
      </c>
      <c r="U106" s="325">
        <f t="shared" si="132"/>
        <v>0</v>
      </c>
      <c r="V106" s="325">
        <f t="shared" si="132"/>
        <v>0</v>
      </c>
      <c r="W106" s="325">
        <f t="shared" si="132"/>
        <v>0</v>
      </c>
      <c r="X106" s="325">
        <f t="shared" si="132"/>
        <v>0</v>
      </c>
      <c r="Y106" s="326">
        <f t="shared" si="132"/>
        <v>0</v>
      </c>
      <c r="Z106" s="2246">
        <f t="shared" si="133"/>
        <v>0</v>
      </c>
      <c r="AA106" s="3080"/>
      <c r="AB106" s="3094"/>
      <c r="AC106" s="3094"/>
      <c r="AD106" s="3094"/>
      <c r="AE106" s="3094"/>
      <c r="AF106" s="3095"/>
      <c r="AG106" s="307"/>
    </row>
    <row r="107" spans="1:33" s="262" customFormat="1" ht="25.5">
      <c r="A107" s="328">
        <v>11</v>
      </c>
      <c r="B107" s="1844">
        <v>215</v>
      </c>
      <c r="C107" s="1845">
        <v>0.2</v>
      </c>
      <c r="D107" s="1835" t="s">
        <v>911</v>
      </c>
      <c r="E107" s="2246">
        <v>0</v>
      </c>
      <c r="F107" s="577">
        <f t="shared" si="127"/>
        <v>0</v>
      </c>
      <c r="G107" s="325">
        <f t="shared" si="128"/>
        <v>0</v>
      </c>
      <c r="H107" s="325">
        <f t="shared" si="128"/>
        <v>0</v>
      </c>
      <c r="I107" s="325">
        <f t="shared" si="128"/>
        <v>0</v>
      </c>
      <c r="J107" s="325">
        <f t="shared" si="128"/>
        <v>0</v>
      </c>
      <c r="K107" s="2039">
        <f t="shared" si="128"/>
        <v>0</v>
      </c>
      <c r="L107" s="2246">
        <v>0</v>
      </c>
      <c r="M107" s="324">
        <f t="shared" si="129"/>
        <v>0</v>
      </c>
      <c r="N107" s="325">
        <f t="shared" si="130"/>
        <v>0</v>
      </c>
      <c r="O107" s="325">
        <f t="shared" si="130"/>
        <v>0</v>
      </c>
      <c r="P107" s="325">
        <f t="shared" si="130"/>
        <v>0</v>
      </c>
      <c r="Q107" s="325">
        <f t="shared" si="130"/>
        <v>0</v>
      </c>
      <c r="R107" s="326">
        <f t="shared" si="130"/>
        <v>0</v>
      </c>
      <c r="S107" s="2246">
        <v>0</v>
      </c>
      <c r="T107" s="327">
        <f t="shared" si="131"/>
        <v>0</v>
      </c>
      <c r="U107" s="325">
        <f t="shared" si="132"/>
        <v>0</v>
      </c>
      <c r="V107" s="325">
        <f t="shared" si="132"/>
        <v>0</v>
      </c>
      <c r="W107" s="325">
        <f t="shared" si="132"/>
        <v>0</v>
      </c>
      <c r="X107" s="325">
        <f t="shared" si="132"/>
        <v>0</v>
      </c>
      <c r="Y107" s="326">
        <f t="shared" si="132"/>
        <v>0</v>
      </c>
      <c r="Z107" s="2246">
        <f t="shared" si="133"/>
        <v>0</v>
      </c>
      <c r="AA107" s="3080"/>
      <c r="AB107" s="3094"/>
      <c r="AC107" s="3094"/>
      <c r="AD107" s="3094"/>
      <c r="AE107" s="3094"/>
      <c r="AF107" s="3095"/>
      <c r="AG107" s="307"/>
    </row>
    <row r="108" spans="1:33" s="262" customFormat="1" ht="13.5" thickBot="1">
      <c r="A108" s="334">
        <v>12</v>
      </c>
      <c r="B108" s="334">
        <v>219</v>
      </c>
      <c r="C108" s="335">
        <v>0.1</v>
      </c>
      <c r="D108" s="336" t="s">
        <v>279</v>
      </c>
      <c r="E108" s="2246">
        <v>0</v>
      </c>
      <c r="F108" s="578">
        <f t="shared" si="127"/>
        <v>1</v>
      </c>
      <c r="G108" s="330">
        <f t="shared" si="128"/>
        <v>1</v>
      </c>
      <c r="H108" s="330">
        <f t="shared" si="128"/>
        <v>1</v>
      </c>
      <c r="I108" s="330">
        <f t="shared" si="128"/>
        <v>1</v>
      </c>
      <c r="J108" s="330">
        <f t="shared" si="128"/>
        <v>0</v>
      </c>
      <c r="K108" s="2040">
        <f t="shared" si="128"/>
        <v>-16</v>
      </c>
      <c r="L108" s="2246">
        <v>0</v>
      </c>
      <c r="M108" s="329">
        <f t="shared" si="129"/>
        <v>0</v>
      </c>
      <c r="N108" s="330">
        <f t="shared" si="130"/>
        <v>0</v>
      </c>
      <c r="O108" s="330">
        <f t="shared" si="130"/>
        <v>0</v>
      </c>
      <c r="P108" s="330">
        <f t="shared" si="130"/>
        <v>0</v>
      </c>
      <c r="Q108" s="330">
        <f t="shared" si="130"/>
        <v>0</v>
      </c>
      <c r="R108" s="331">
        <f t="shared" si="130"/>
        <v>0</v>
      </c>
      <c r="S108" s="2246">
        <v>0</v>
      </c>
      <c r="T108" s="332">
        <f t="shared" si="131"/>
        <v>0</v>
      </c>
      <c r="U108" s="330">
        <f t="shared" si="132"/>
        <v>0</v>
      </c>
      <c r="V108" s="330">
        <f t="shared" si="132"/>
        <v>0</v>
      </c>
      <c r="W108" s="330">
        <f t="shared" si="132"/>
        <v>0</v>
      </c>
      <c r="X108" s="330">
        <f t="shared" si="132"/>
        <v>0</v>
      </c>
      <c r="Y108" s="331">
        <f t="shared" si="132"/>
        <v>0</v>
      </c>
      <c r="Z108" s="2246">
        <f t="shared" si="133"/>
        <v>0</v>
      </c>
      <c r="AA108" s="3096"/>
      <c r="AB108" s="3097"/>
      <c r="AC108" s="3097"/>
      <c r="AD108" s="3097"/>
      <c r="AE108" s="3097"/>
      <c r="AF108" s="3098"/>
      <c r="AG108" s="307"/>
    </row>
    <row r="109" spans="1:33" s="262" customFormat="1" ht="40.5" customHeight="1" thickBot="1">
      <c r="A109" s="245" t="s">
        <v>596</v>
      </c>
      <c r="B109" s="245"/>
      <c r="C109" s="245"/>
      <c r="D109" s="2029" t="s">
        <v>867</v>
      </c>
      <c r="E109" s="2029"/>
      <c r="F109" s="2030"/>
      <c r="G109" s="2030"/>
      <c r="H109" s="2030"/>
      <c r="I109" s="2030"/>
      <c r="J109" s="2030"/>
      <c r="K109" s="2030"/>
      <c r="L109" s="2029"/>
      <c r="M109" s="2030"/>
      <c r="N109" s="2030"/>
      <c r="O109" s="2030"/>
      <c r="P109" s="2030"/>
      <c r="Q109" s="2030"/>
      <c r="R109" s="2031"/>
      <c r="S109" s="2029"/>
      <c r="T109" s="2030"/>
      <c r="U109" s="2030"/>
      <c r="V109" s="2030"/>
      <c r="W109" s="2030"/>
      <c r="X109" s="2030"/>
      <c r="Y109" s="2031"/>
      <c r="Z109" s="2029"/>
      <c r="AA109" s="2030"/>
      <c r="AB109" s="2030"/>
      <c r="AC109" s="2030"/>
      <c r="AD109" s="2030"/>
      <c r="AE109" s="2030"/>
      <c r="AF109" s="2031"/>
      <c r="AG109" s="307"/>
    </row>
    <row r="110" spans="1:33" s="262" customFormat="1" ht="19.5" customHeight="1" thickBot="1">
      <c r="A110" s="3024" t="s">
        <v>642</v>
      </c>
      <c r="B110" s="3025"/>
      <c r="C110" s="3025"/>
      <c r="D110" s="3025" t="s">
        <v>1527</v>
      </c>
      <c r="E110" s="654">
        <f>SUM(E111:E131)</f>
        <v>0</v>
      </c>
      <c r="F110" s="655">
        <f>SUM(F111:F131)</f>
        <v>0</v>
      </c>
      <c r="G110" s="656">
        <f t="shared" ref="G110:AF110" si="134">SUM(G111:G131)</f>
        <v>0</v>
      </c>
      <c r="H110" s="656">
        <f t="shared" si="134"/>
        <v>0</v>
      </c>
      <c r="I110" s="656">
        <f t="shared" si="134"/>
        <v>0</v>
      </c>
      <c r="J110" s="656">
        <f t="shared" si="134"/>
        <v>0</v>
      </c>
      <c r="K110" s="657">
        <f t="shared" si="134"/>
        <v>0</v>
      </c>
      <c r="L110" s="341">
        <f t="shared" si="134"/>
        <v>0</v>
      </c>
      <c r="M110" s="655">
        <f t="shared" si="134"/>
        <v>0</v>
      </c>
      <c r="N110" s="656">
        <f t="shared" si="134"/>
        <v>0</v>
      </c>
      <c r="O110" s="656">
        <f t="shared" si="134"/>
        <v>0</v>
      </c>
      <c r="P110" s="656">
        <f t="shared" si="134"/>
        <v>0</v>
      </c>
      <c r="Q110" s="656">
        <f t="shared" si="134"/>
        <v>0</v>
      </c>
      <c r="R110" s="658">
        <f t="shared" si="134"/>
        <v>0</v>
      </c>
      <c r="S110" s="654">
        <f t="shared" si="134"/>
        <v>0</v>
      </c>
      <c r="T110" s="655">
        <f t="shared" si="134"/>
        <v>0</v>
      </c>
      <c r="U110" s="656">
        <f t="shared" si="134"/>
        <v>0</v>
      </c>
      <c r="V110" s="656">
        <f t="shared" si="134"/>
        <v>0</v>
      </c>
      <c r="W110" s="656">
        <f t="shared" si="134"/>
        <v>0</v>
      </c>
      <c r="X110" s="656">
        <f t="shared" si="134"/>
        <v>0</v>
      </c>
      <c r="Y110" s="658">
        <f t="shared" si="134"/>
        <v>0</v>
      </c>
      <c r="Z110" s="654">
        <f t="shared" si="134"/>
        <v>0</v>
      </c>
      <c r="AA110" s="655">
        <f t="shared" si="134"/>
        <v>0</v>
      </c>
      <c r="AB110" s="656">
        <f t="shared" si="134"/>
        <v>0</v>
      </c>
      <c r="AC110" s="656">
        <f t="shared" si="134"/>
        <v>0</v>
      </c>
      <c r="AD110" s="656">
        <f t="shared" si="134"/>
        <v>0</v>
      </c>
      <c r="AE110" s="656">
        <f t="shared" si="134"/>
        <v>0</v>
      </c>
      <c r="AF110" s="658">
        <f t="shared" si="134"/>
        <v>0</v>
      </c>
      <c r="AG110" s="307"/>
    </row>
    <row r="111" spans="1:33" s="262" customFormat="1">
      <c r="A111" s="278">
        <v>1</v>
      </c>
      <c r="B111" s="1630" t="s">
        <v>949</v>
      </c>
      <c r="C111" s="1634">
        <v>0</v>
      </c>
      <c r="D111" s="1638" t="s">
        <v>760</v>
      </c>
      <c r="E111" s="3041"/>
      <c r="F111" s="795">
        <v>0</v>
      </c>
      <c r="G111" s="795">
        <v>0</v>
      </c>
      <c r="H111" s="795">
        <v>0</v>
      </c>
      <c r="I111" s="795">
        <v>0</v>
      </c>
      <c r="J111" s="795">
        <v>0</v>
      </c>
      <c r="K111" s="795">
        <v>0</v>
      </c>
      <c r="L111" s="3041"/>
      <c r="M111" s="795">
        <v>0</v>
      </c>
      <c r="N111" s="795">
        <v>0</v>
      </c>
      <c r="O111" s="795">
        <v>0</v>
      </c>
      <c r="P111" s="795">
        <v>0</v>
      </c>
      <c r="Q111" s="795">
        <v>0</v>
      </c>
      <c r="R111" s="795">
        <v>0</v>
      </c>
      <c r="S111" s="3041"/>
      <c r="T111" s="795">
        <v>0</v>
      </c>
      <c r="U111" s="795">
        <v>0</v>
      </c>
      <c r="V111" s="795">
        <v>0</v>
      </c>
      <c r="W111" s="795">
        <v>0</v>
      </c>
      <c r="X111" s="795">
        <v>0</v>
      </c>
      <c r="Y111" s="795">
        <v>0</v>
      </c>
      <c r="Z111" s="3099"/>
      <c r="AA111" s="3100"/>
      <c r="AB111" s="3101"/>
      <c r="AC111" s="3101"/>
      <c r="AD111" s="3101"/>
      <c r="AE111" s="3101"/>
      <c r="AF111" s="3102"/>
      <c r="AG111" s="307"/>
    </row>
    <row r="112" spans="1:33" s="262" customFormat="1">
      <c r="A112" s="278">
        <v>2</v>
      </c>
      <c r="B112" s="1632" t="s">
        <v>950</v>
      </c>
      <c r="C112" s="1634">
        <v>0.03</v>
      </c>
      <c r="D112" s="1636" t="s">
        <v>598</v>
      </c>
      <c r="E112" s="3041"/>
      <c r="F112" s="795">
        <v>0</v>
      </c>
      <c r="G112" s="795">
        <v>0</v>
      </c>
      <c r="H112" s="795">
        <v>0</v>
      </c>
      <c r="I112" s="795">
        <v>0</v>
      </c>
      <c r="J112" s="795">
        <v>0</v>
      </c>
      <c r="K112" s="795">
        <v>0</v>
      </c>
      <c r="L112" s="3041"/>
      <c r="M112" s="795">
        <v>0</v>
      </c>
      <c r="N112" s="795">
        <v>0</v>
      </c>
      <c r="O112" s="795">
        <v>0</v>
      </c>
      <c r="P112" s="795">
        <v>0</v>
      </c>
      <c r="Q112" s="795">
        <v>0</v>
      </c>
      <c r="R112" s="795">
        <v>0</v>
      </c>
      <c r="S112" s="3041"/>
      <c r="T112" s="795">
        <v>0</v>
      </c>
      <c r="U112" s="795">
        <v>0</v>
      </c>
      <c r="V112" s="795">
        <v>0</v>
      </c>
      <c r="W112" s="795">
        <v>0</v>
      </c>
      <c r="X112" s="795">
        <v>0</v>
      </c>
      <c r="Y112" s="795">
        <v>0</v>
      </c>
      <c r="Z112" s="3041"/>
      <c r="AA112" s="3103"/>
      <c r="AB112" s="3104"/>
      <c r="AC112" s="3104"/>
      <c r="AD112" s="3104"/>
      <c r="AE112" s="3104"/>
      <c r="AF112" s="3105"/>
      <c r="AG112" s="307"/>
    </row>
    <row r="113" spans="1:33" s="262" customFormat="1">
      <c r="A113" s="278">
        <v>3</v>
      </c>
      <c r="B113" s="1632">
        <v>911301</v>
      </c>
      <c r="C113" s="1633">
        <v>0.1</v>
      </c>
      <c r="D113" s="1636" t="s">
        <v>599</v>
      </c>
      <c r="E113" s="3041"/>
      <c r="F113" s="795">
        <v>0</v>
      </c>
      <c r="G113" s="795">
        <v>0</v>
      </c>
      <c r="H113" s="795">
        <v>0</v>
      </c>
      <c r="I113" s="795">
        <v>0</v>
      </c>
      <c r="J113" s="795">
        <v>0</v>
      </c>
      <c r="K113" s="795">
        <v>0</v>
      </c>
      <c r="L113" s="3041"/>
      <c r="M113" s="795">
        <v>0</v>
      </c>
      <c r="N113" s="795">
        <v>0</v>
      </c>
      <c r="O113" s="795">
        <v>0</v>
      </c>
      <c r="P113" s="795">
        <v>0</v>
      </c>
      <c r="Q113" s="795">
        <v>0</v>
      </c>
      <c r="R113" s="795">
        <v>0</v>
      </c>
      <c r="S113" s="3041"/>
      <c r="T113" s="795">
        <v>0</v>
      </c>
      <c r="U113" s="795">
        <v>0</v>
      </c>
      <c r="V113" s="795">
        <v>0</v>
      </c>
      <c r="W113" s="795">
        <v>0</v>
      </c>
      <c r="X113" s="795">
        <v>0</v>
      </c>
      <c r="Y113" s="795">
        <v>0</v>
      </c>
      <c r="Z113" s="3041"/>
      <c r="AA113" s="3103"/>
      <c r="AB113" s="3104"/>
      <c r="AC113" s="3104"/>
      <c r="AD113" s="3104"/>
      <c r="AE113" s="3104"/>
      <c r="AF113" s="3105"/>
      <c r="AG113" s="307"/>
    </row>
    <row r="114" spans="1:33" s="262" customFormat="1">
      <c r="A114" s="278">
        <v>4</v>
      </c>
      <c r="B114" s="1632">
        <v>911302</v>
      </c>
      <c r="C114" s="1633">
        <v>0.1</v>
      </c>
      <c r="D114" s="1636" t="s">
        <v>600</v>
      </c>
      <c r="E114" s="3041"/>
      <c r="F114" s="795">
        <v>0</v>
      </c>
      <c r="G114" s="795">
        <v>0</v>
      </c>
      <c r="H114" s="795">
        <v>0</v>
      </c>
      <c r="I114" s="795">
        <v>0</v>
      </c>
      <c r="J114" s="795">
        <v>0</v>
      </c>
      <c r="K114" s="795">
        <v>0</v>
      </c>
      <c r="L114" s="3041"/>
      <c r="M114" s="795">
        <v>0</v>
      </c>
      <c r="N114" s="795">
        <v>0</v>
      </c>
      <c r="O114" s="795">
        <v>0</v>
      </c>
      <c r="P114" s="795">
        <v>0</v>
      </c>
      <c r="Q114" s="795">
        <v>0</v>
      </c>
      <c r="R114" s="795">
        <v>0</v>
      </c>
      <c r="S114" s="3041"/>
      <c r="T114" s="795">
        <v>0</v>
      </c>
      <c r="U114" s="795">
        <v>0</v>
      </c>
      <c r="V114" s="795">
        <v>0</v>
      </c>
      <c r="W114" s="795">
        <v>0</v>
      </c>
      <c r="X114" s="795">
        <v>0</v>
      </c>
      <c r="Y114" s="795">
        <v>0</v>
      </c>
      <c r="Z114" s="3041"/>
      <c r="AA114" s="3103"/>
      <c r="AB114" s="3104"/>
      <c r="AC114" s="3104"/>
      <c r="AD114" s="3104"/>
      <c r="AE114" s="3104"/>
      <c r="AF114" s="3105"/>
      <c r="AG114" s="307"/>
    </row>
    <row r="115" spans="1:33" s="262" customFormat="1">
      <c r="A115" s="278">
        <v>5</v>
      </c>
      <c r="B115" s="1632" t="s">
        <v>967</v>
      </c>
      <c r="C115" s="1633">
        <v>0.1</v>
      </c>
      <c r="D115" s="1626" t="s">
        <v>579</v>
      </c>
      <c r="E115" s="3041"/>
      <c r="F115" s="795">
        <v>0</v>
      </c>
      <c r="G115" s="795">
        <v>0</v>
      </c>
      <c r="H115" s="795">
        <v>0</v>
      </c>
      <c r="I115" s="795">
        <v>0</v>
      </c>
      <c r="J115" s="795">
        <v>0</v>
      </c>
      <c r="K115" s="795">
        <v>0</v>
      </c>
      <c r="L115" s="3041"/>
      <c r="M115" s="795">
        <v>0</v>
      </c>
      <c r="N115" s="795">
        <v>0</v>
      </c>
      <c r="O115" s="795">
        <v>0</v>
      </c>
      <c r="P115" s="795">
        <v>0</v>
      </c>
      <c r="Q115" s="795">
        <v>0</v>
      </c>
      <c r="R115" s="795">
        <v>0</v>
      </c>
      <c r="S115" s="3041"/>
      <c r="T115" s="795">
        <v>0</v>
      </c>
      <c r="U115" s="795">
        <v>0</v>
      </c>
      <c r="V115" s="795">
        <v>0</v>
      </c>
      <c r="W115" s="795">
        <v>0</v>
      </c>
      <c r="X115" s="795">
        <v>0</v>
      </c>
      <c r="Y115" s="795">
        <v>0</v>
      </c>
      <c r="Z115" s="3041"/>
      <c r="AA115" s="3103"/>
      <c r="AB115" s="3104"/>
      <c r="AC115" s="3104"/>
      <c r="AD115" s="3104"/>
      <c r="AE115" s="3104"/>
      <c r="AF115" s="3105"/>
      <c r="AG115" s="307"/>
    </row>
    <row r="116" spans="1:33" s="262" customFormat="1">
      <c r="A116" s="278">
        <v>6</v>
      </c>
      <c r="B116" s="1632" t="s">
        <v>968</v>
      </c>
      <c r="C116" s="1633">
        <v>0.1</v>
      </c>
      <c r="D116" s="1626" t="s">
        <v>580</v>
      </c>
      <c r="E116" s="3041"/>
      <c r="F116" s="795">
        <v>0</v>
      </c>
      <c r="G116" s="795">
        <v>0</v>
      </c>
      <c r="H116" s="795">
        <v>0</v>
      </c>
      <c r="I116" s="795">
        <v>0</v>
      </c>
      <c r="J116" s="795">
        <v>0</v>
      </c>
      <c r="K116" s="795">
        <v>0</v>
      </c>
      <c r="L116" s="3041"/>
      <c r="M116" s="795">
        <v>0</v>
      </c>
      <c r="N116" s="795">
        <v>0</v>
      </c>
      <c r="O116" s="795">
        <v>0</v>
      </c>
      <c r="P116" s="795">
        <v>0</v>
      </c>
      <c r="Q116" s="795">
        <v>0</v>
      </c>
      <c r="R116" s="795">
        <v>0</v>
      </c>
      <c r="S116" s="3041"/>
      <c r="T116" s="795">
        <v>0</v>
      </c>
      <c r="U116" s="795">
        <v>0</v>
      </c>
      <c r="V116" s="795">
        <v>0</v>
      </c>
      <c r="W116" s="795">
        <v>0</v>
      </c>
      <c r="X116" s="795">
        <v>0</v>
      </c>
      <c r="Y116" s="795">
        <v>0</v>
      </c>
      <c r="Z116" s="3041"/>
      <c r="AA116" s="3103"/>
      <c r="AB116" s="3104"/>
      <c r="AC116" s="3104"/>
      <c r="AD116" s="3104"/>
      <c r="AE116" s="3104"/>
      <c r="AF116" s="3105"/>
      <c r="AG116" s="307"/>
    </row>
    <row r="117" spans="1:33" s="262" customFormat="1" ht="24">
      <c r="A117" s="278">
        <v>7</v>
      </c>
      <c r="B117" s="1632" t="s">
        <v>959</v>
      </c>
      <c r="C117" s="1633">
        <v>0.1</v>
      </c>
      <c r="D117" s="1626" t="s">
        <v>948</v>
      </c>
      <c r="E117" s="3041"/>
      <c r="F117" s="795">
        <v>0</v>
      </c>
      <c r="G117" s="795">
        <v>0</v>
      </c>
      <c r="H117" s="795">
        <v>0</v>
      </c>
      <c r="I117" s="795">
        <v>0</v>
      </c>
      <c r="J117" s="795">
        <v>0</v>
      </c>
      <c r="K117" s="795">
        <v>0</v>
      </c>
      <c r="L117" s="3041"/>
      <c r="M117" s="795">
        <v>0</v>
      </c>
      <c r="N117" s="795">
        <v>0</v>
      </c>
      <c r="O117" s="795">
        <v>0</v>
      </c>
      <c r="P117" s="795">
        <v>0</v>
      </c>
      <c r="Q117" s="795">
        <v>0</v>
      </c>
      <c r="R117" s="795">
        <v>0</v>
      </c>
      <c r="S117" s="3041"/>
      <c r="T117" s="795">
        <v>0</v>
      </c>
      <c r="U117" s="795">
        <v>0</v>
      </c>
      <c r="V117" s="795">
        <v>0</v>
      </c>
      <c r="W117" s="795">
        <v>0</v>
      </c>
      <c r="X117" s="795">
        <v>0</v>
      </c>
      <c r="Y117" s="795">
        <v>0</v>
      </c>
      <c r="Z117" s="3041"/>
      <c r="AA117" s="3103"/>
      <c r="AB117" s="3104"/>
      <c r="AC117" s="3104"/>
      <c r="AD117" s="3104"/>
      <c r="AE117" s="3104"/>
      <c r="AF117" s="3105"/>
      <c r="AG117" s="307"/>
    </row>
    <row r="118" spans="1:33" s="262" customFormat="1">
      <c r="A118" s="278">
        <v>8</v>
      </c>
      <c r="B118" s="1632" t="s">
        <v>969</v>
      </c>
      <c r="C118" s="1633">
        <v>0.1</v>
      </c>
      <c r="D118" s="1626" t="s">
        <v>966</v>
      </c>
      <c r="E118" s="3041"/>
      <c r="F118" s="795">
        <v>0</v>
      </c>
      <c r="G118" s="795">
        <v>0</v>
      </c>
      <c r="H118" s="795">
        <v>0</v>
      </c>
      <c r="I118" s="795">
        <v>0</v>
      </c>
      <c r="J118" s="795">
        <v>0</v>
      </c>
      <c r="K118" s="795">
        <v>0</v>
      </c>
      <c r="L118" s="3041"/>
      <c r="M118" s="795">
        <v>0</v>
      </c>
      <c r="N118" s="795">
        <v>0</v>
      </c>
      <c r="O118" s="795">
        <v>0</v>
      </c>
      <c r="P118" s="795">
        <v>0</v>
      </c>
      <c r="Q118" s="795">
        <v>0</v>
      </c>
      <c r="R118" s="795">
        <v>0</v>
      </c>
      <c r="S118" s="3041"/>
      <c r="T118" s="795">
        <v>0</v>
      </c>
      <c r="U118" s="795">
        <v>0</v>
      </c>
      <c r="V118" s="795">
        <v>0</v>
      </c>
      <c r="W118" s="795">
        <v>0</v>
      </c>
      <c r="X118" s="795">
        <v>0</v>
      </c>
      <c r="Y118" s="795">
        <v>0</v>
      </c>
      <c r="Z118" s="3041"/>
      <c r="AA118" s="3103"/>
      <c r="AB118" s="3104"/>
      <c r="AC118" s="3104"/>
      <c r="AD118" s="3104"/>
      <c r="AE118" s="3104"/>
      <c r="AF118" s="3105"/>
      <c r="AG118" s="307"/>
    </row>
    <row r="119" spans="1:33" s="262" customFormat="1">
      <c r="A119" s="608">
        <v>9</v>
      </c>
      <c r="B119" s="1632">
        <v>911306</v>
      </c>
      <c r="C119" s="1633">
        <v>0.1</v>
      </c>
      <c r="D119" s="1636" t="s">
        <v>1471</v>
      </c>
      <c r="E119" s="3041"/>
      <c r="F119" s="795">
        <v>0</v>
      </c>
      <c r="G119" s="795">
        <v>0</v>
      </c>
      <c r="H119" s="795">
        <v>0</v>
      </c>
      <c r="I119" s="795">
        <v>0</v>
      </c>
      <c r="J119" s="795">
        <v>0</v>
      </c>
      <c r="K119" s="795">
        <v>0</v>
      </c>
      <c r="L119" s="3041"/>
      <c r="M119" s="795">
        <v>0</v>
      </c>
      <c r="N119" s="795">
        <v>0</v>
      </c>
      <c r="O119" s="795">
        <v>0</v>
      </c>
      <c r="P119" s="795">
        <v>0</v>
      </c>
      <c r="Q119" s="795">
        <v>0</v>
      </c>
      <c r="R119" s="795">
        <v>0</v>
      </c>
      <c r="S119" s="3041"/>
      <c r="T119" s="795">
        <v>0</v>
      </c>
      <c r="U119" s="795">
        <v>0</v>
      </c>
      <c r="V119" s="795">
        <v>0</v>
      </c>
      <c r="W119" s="795">
        <v>0</v>
      </c>
      <c r="X119" s="795">
        <v>0</v>
      </c>
      <c r="Y119" s="795">
        <v>0</v>
      </c>
      <c r="Z119" s="3041"/>
      <c r="AA119" s="3103"/>
      <c r="AB119" s="3104"/>
      <c r="AC119" s="3104"/>
      <c r="AD119" s="3104"/>
      <c r="AE119" s="3104"/>
      <c r="AF119" s="3105"/>
      <c r="AG119" s="307"/>
    </row>
    <row r="120" spans="1:33" s="262" customFormat="1">
      <c r="A120" s="608">
        <v>10</v>
      </c>
      <c r="B120" s="1632">
        <v>91140101</v>
      </c>
      <c r="C120" s="1637">
        <v>0.1</v>
      </c>
      <c r="D120" s="1638" t="s">
        <v>1442</v>
      </c>
      <c r="E120" s="3041"/>
      <c r="F120" s="795">
        <v>0</v>
      </c>
      <c r="G120" s="795">
        <v>0</v>
      </c>
      <c r="H120" s="795">
        <v>0</v>
      </c>
      <c r="I120" s="795">
        <v>0</v>
      </c>
      <c r="J120" s="795">
        <v>0</v>
      </c>
      <c r="K120" s="795">
        <v>0</v>
      </c>
      <c r="L120" s="3041"/>
      <c r="M120" s="795">
        <v>0</v>
      </c>
      <c r="N120" s="795">
        <v>0</v>
      </c>
      <c r="O120" s="795">
        <v>0</v>
      </c>
      <c r="P120" s="795">
        <v>0</v>
      </c>
      <c r="Q120" s="795">
        <v>0</v>
      </c>
      <c r="R120" s="795">
        <v>0</v>
      </c>
      <c r="S120" s="3041"/>
      <c r="T120" s="795">
        <v>0</v>
      </c>
      <c r="U120" s="795">
        <v>0</v>
      </c>
      <c r="V120" s="795">
        <v>0</v>
      </c>
      <c r="W120" s="795">
        <v>0</v>
      </c>
      <c r="X120" s="795">
        <v>0</v>
      </c>
      <c r="Y120" s="795">
        <v>0</v>
      </c>
      <c r="Z120" s="3041"/>
      <c r="AA120" s="3103"/>
      <c r="AB120" s="3104"/>
      <c r="AC120" s="3104"/>
      <c r="AD120" s="3104"/>
      <c r="AE120" s="3104"/>
      <c r="AF120" s="3105"/>
      <c r="AG120" s="307"/>
    </row>
    <row r="121" spans="1:33" s="262" customFormat="1">
      <c r="A121" s="608">
        <v>11</v>
      </c>
      <c r="B121" s="1632">
        <v>91140102</v>
      </c>
      <c r="C121" s="1637">
        <v>0.04</v>
      </c>
      <c r="D121" s="1638" t="s">
        <v>604</v>
      </c>
      <c r="E121" s="3041"/>
      <c r="F121" s="795">
        <v>0</v>
      </c>
      <c r="G121" s="795">
        <v>0</v>
      </c>
      <c r="H121" s="795">
        <v>0</v>
      </c>
      <c r="I121" s="795">
        <v>0</v>
      </c>
      <c r="J121" s="795">
        <v>0</v>
      </c>
      <c r="K121" s="795">
        <v>0</v>
      </c>
      <c r="L121" s="3041"/>
      <c r="M121" s="795">
        <v>0</v>
      </c>
      <c r="N121" s="795">
        <v>0</v>
      </c>
      <c r="O121" s="795">
        <v>0</v>
      </c>
      <c r="P121" s="795">
        <v>0</v>
      </c>
      <c r="Q121" s="795">
        <v>0</v>
      </c>
      <c r="R121" s="795">
        <v>0</v>
      </c>
      <c r="S121" s="3041"/>
      <c r="T121" s="795">
        <v>0</v>
      </c>
      <c r="U121" s="795">
        <v>0</v>
      </c>
      <c r="V121" s="795">
        <v>0</v>
      </c>
      <c r="W121" s="795">
        <v>0</v>
      </c>
      <c r="X121" s="795">
        <v>0</v>
      </c>
      <c r="Y121" s="795">
        <v>0</v>
      </c>
      <c r="Z121" s="3041"/>
      <c r="AA121" s="3103"/>
      <c r="AB121" s="3104"/>
      <c r="AC121" s="3104"/>
      <c r="AD121" s="3104"/>
      <c r="AE121" s="3104"/>
      <c r="AF121" s="3105"/>
      <c r="AG121" s="307"/>
    </row>
    <row r="122" spans="1:33" s="262" customFormat="1">
      <c r="A122" s="608">
        <v>12</v>
      </c>
      <c r="B122" s="1632" t="s">
        <v>951</v>
      </c>
      <c r="C122" s="1633">
        <v>0.02</v>
      </c>
      <c r="D122" s="1624" t="s">
        <v>1007</v>
      </c>
      <c r="E122" s="3041"/>
      <c r="F122" s="795">
        <v>0</v>
      </c>
      <c r="G122" s="795">
        <v>0</v>
      </c>
      <c r="H122" s="795">
        <v>0</v>
      </c>
      <c r="I122" s="795">
        <v>0</v>
      </c>
      <c r="J122" s="795">
        <v>0</v>
      </c>
      <c r="K122" s="795">
        <v>0</v>
      </c>
      <c r="L122" s="3041"/>
      <c r="M122" s="795">
        <v>0</v>
      </c>
      <c r="N122" s="795">
        <v>0</v>
      </c>
      <c r="O122" s="795">
        <v>0</v>
      </c>
      <c r="P122" s="795">
        <v>0</v>
      </c>
      <c r="Q122" s="795">
        <v>0</v>
      </c>
      <c r="R122" s="795">
        <v>0</v>
      </c>
      <c r="S122" s="3041"/>
      <c r="T122" s="795">
        <v>0</v>
      </c>
      <c r="U122" s="795">
        <v>0</v>
      </c>
      <c r="V122" s="795">
        <v>0</v>
      </c>
      <c r="W122" s="795">
        <v>0</v>
      </c>
      <c r="X122" s="795">
        <v>0</v>
      </c>
      <c r="Y122" s="795">
        <v>0</v>
      </c>
      <c r="Z122" s="3041"/>
      <c r="AA122" s="3103"/>
      <c r="AB122" s="3104"/>
      <c r="AC122" s="3104"/>
      <c r="AD122" s="3104"/>
      <c r="AE122" s="3104"/>
      <c r="AF122" s="3105"/>
      <c r="AG122" s="307"/>
    </row>
    <row r="123" spans="1:33" s="262" customFormat="1">
      <c r="A123" s="608">
        <v>13</v>
      </c>
      <c r="B123" s="1632" t="s">
        <v>952</v>
      </c>
      <c r="C123" s="1633">
        <v>0.02</v>
      </c>
      <c r="D123" s="1624" t="s">
        <v>1008</v>
      </c>
      <c r="E123" s="3041"/>
      <c r="F123" s="795">
        <v>0</v>
      </c>
      <c r="G123" s="795">
        <v>0</v>
      </c>
      <c r="H123" s="795">
        <v>0</v>
      </c>
      <c r="I123" s="795">
        <v>0</v>
      </c>
      <c r="J123" s="795">
        <v>0</v>
      </c>
      <c r="K123" s="795">
        <v>0</v>
      </c>
      <c r="L123" s="3041"/>
      <c r="M123" s="795">
        <v>0</v>
      </c>
      <c r="N123" s="795">
        <v>0</v>
      </c>
      <c r="O123" s="795">
        <v>0</v>
      </c>
      <c r="P123" s="795">
        <v>0</v>
      </c>
      <c r="Q123" s="795">
        <v>0</v>
      </c>
      <c r="R123" s="795">
        <v>0</v>
      </c>
      <c r="S123" s="3041"/>
      <c r="T123" s="795">
        <v>0</v>
      </c>
      <c r="U123" s="795">
        <v>0</v>
      </c>
      <c r="V123" s="795">
        <v>0</v>
      </c>
      <c r="W123" s="795">
        <v>0</v>
      </c>
      <c r="X123" s="795">
        <v>0</v>
      </c>
      <c r="Y123" s="795">
        <v>0</v>
      </c>
      <c r="Z123" s="3041"/>
      <c r="AA123" s="3103"/>
      <c r="AB123" s="3104"/>
      <c r="AC123" s="3104"/>
      <c r="AD123" s="3104"/>
      <c r="AE123" s="3104"/>
      <c r="AF123" s="3105"/>
      <c r="AG123" s="307"/>
    </row>
    <row r="124" spans="1:33" s="262" customFormat="1">
      <c r="A124" s="608">
        <v>14</v>
      </c>
      <c r="B124" s="1632" t="s">
        <v>953</v>
      </c>
      <c r="C124" s="1633">
        <v>0.02</v>
      </c>
      <c r="D124" s="1624" t="s">
        <v>590</v>
      </c>
      <c r="E124" s="3041"/>
      <c r="F124" s="795">
        <v>0</v>
      </c>
      <c r="G124" s="795">
        <v>0</v>
      </c>
      <c r="H124" s="795">
        <v>0</v>
      </c>
      <c r="I124" s="795">
        <v>0</v>
      </c>
      <c r="J124" s="795">
        <v>0</v>
      </c>
      <c r="K124" s="795">
        <v>0</v>
      </c>
      <c r="L124" s="3041"/>
      <c r="M124" s="795">
        <v>0</v>
      </c>
      <c r="N124" s="795">
        <v>0</v>
      </c>
      <c r="O124" s="795">
        <v>0</v>
      </c>
      <c r="P124" s="795">
        <v>0</v>
      </c>
      <c r="Q124" s="795">
        <v>0</v>
      </c>
      <c r="R124" s="795">
        <v>0</v>
      </c>
      <c r="S124" s="3041"/>
      <c r="T124" s="795">
        <v>0</v>
      </c>
      <c r="U124" s="795">
        <v>0</v>
      </c>
      <c r="V124" s="795">
        <v>0</v>
      </c>
      <c r="W124" s="795">
        <v>0</v>
      </c>
      <c r="X124" s="795">
        <v>0</v>
      </c>
      <c r="Y124" s="795">
        <v>0</v>
      </c>
      <c r="Z124" s="3041"/>
      <c r="AA124" s="3103"/>
      <c r="AB124" s="3104"/>
      <c r="AC124" s="3104"/>
      <c r="AD124" s="3104"/>
      <c r="AE124" s="3104"/>
      <c r="AF124" s="3105"/>
      <c r="AG124" s="307"/>
    </row>
    <row r="125" spans="1:33" s="262" customFormat="1">
      <c r="A125" s="608">
        <v>15</v>
      </c>
      <c r="B125" s="1632" t="s">
        <v>954</v>
      </c>
      <c r="C125" s="1633">
        <v>0.02</v>
      </c>
      <c r="D125" s="1638" t="s">
        <v>591</v>
      </c>
      <c r="E125" s="3041"/>
      <c r="F125" s="795">
        <v>0</v>
      </c>
      <c r="G125" s="795">
        <v>0</v>
      </c>
      <c r="H125" s="795">
        <v>0</v>
      </c>
      <c r="I125" s="795">
        <v>0</v>
      </c>
      <c r="J125" s="795">
        <v>0</v>
      </c>
      <c r="K125" s="795">
        <v>0</v>
      </c>
      <c r="L125" s="3041"/>
      <c r="M125" s="795">
        <v>0</v>
      </c>
      <c r="N125" s="795">
        <v>0</v>
      </c>
      <c r="O125" s="795">
        <v>0</v>
      </c>
      <c r="P125" s="795">
        <v>0</v>
      </c>
      <c r="Q125" s="795">
        <v>0</v>
      </c>
      <c r="R125" s="795">
        <v>0</v>
      </c>
      <c r="S125" s="3041"/>
      <c r="T125" s="795">
        <v>0</v>
      </c>
      <c r="U125" s="795">
        <v>0</v>
      </c>
      <c r="V125" s="795">
        <v>0</v>
      </c>
      <c r="W125" s="795">
        <v>0</v>
      </c>
      <c r="X125" s="795">
        <v>0</v>
      </c>
      <c r="Y125" s="795">
        <v>0</v>
      </c>
      <c r="Z125" s="3041"/>
      <c r="AA125" s="3103"/>
      <c r="AB125" s="3104"/>
      <c r="AC125" s="3104"/>
      <c r="AD125" s="3104"/>
      <c r="AE125" s="3104"/>
      <c r="AF125" s="3105"/>
      <c r="AG125" s="307"/>
    </row>
    <row r="126" spans="1:33" s="262" customFormat="1">
      <c r="A126" s="608">
        <v>16</v>
      </c>
      <c r="B126" s="1632" t="s">
        <v>955</v>
      </c>
      <c r="C126" s="1633">
        <v>0.02</v>
      </c>
      <c r="D126" s="1624" t="s">
        <v>592</v>
      </c>
      <c r="E126" s="3041"/>
      <c r="F126" s="795">
        <v>0</v>
      </c>
      <c r="G126" s="795">
        <v>0</v>
      </c>
      <c r="H126" s="795">
        <v>0</v>
      </c>
      <c r="I126" s="795">
        <v>0</v>
      </c>
      <c r="J126" s="795">
        <v>0</v>
      </c>
      <c r="K126" s="795">
        <v>0</v>
      </c>
      <c r="L126" s="3041"/>
      <c r="M126" s="795">
        <v>0</v>
      </c>
      <c r="N126" s="795">
        <v>0</v>
      </c>
      <c r="O126" s="795">
        <v>0</v>
      </c>
      <c r="P126" s="795">
        <v>0</v>
      </c>
      <c r="Q126" s="795">
        <v>0</v>
      </c>
      <c r="R126" s="795">
        <v>0</v>
      </c>
      <c r="S126" s="3041"/>
      <c r="T126" s="795">
        <v>0</v>
      </c>
      <c r="U126" s="795">
        <v>0</v>
      </c>
      <c r="V126" s="795">
        <v>0</v>
      </c>
      <c r="W126" s="795">
        <v>0</v>
      </c>
      <c r="X126" s="795">
        <v>0</v>
      </c>
      <c r="Y126" s="795">
        <v>0</v>
      </c>
      <c r="Z126" s="3041"/>
      <c r="AA126" s="3103"/>
      <c r="AB126" s="3104"/>
      <c r="AC126" s="3104"/>
      <c r="AD126" s="3104"/>
      <c r="AE126" s="3104"/>
      <c r="AF126" s="3105"/>
      <c r="AG126" s="307"/>
    </row>
    <row r="127" spans="1:33" s="262" customFormat="1">
      <c r="A127" s="608">
        <v>17</v>
      </c>
      <c r="B127" s="1632" t="s">
        <v>956</v>
      </c>
      <c r="C127" s="1633">
        <v>0.02</v>
      </c>
      <c r="D127" s="1626" t="s">
        <v>593</v>
      </c>
      <c r="E127" s="3041"/>
      <c r="F127" s="795">
        <v>0</v>
      </c>
      <c r="G127" s="795">
        <v>0</v>
      </c>
      <c r="H127" s="795">
        <v>0</v>
      </c>
      <c r="I127" s="795">
        <v>0</v>
      </c>
      <c r="J127" s="795">
        <v>0</v>
      </c>
      <c r="K127" s="795">
        <v>0</v>
      </c>
      <c r="L127" s="3041"/>
      <c r="M127" s="795">
        <v>0</v>
      </c>
      <c r="N127" s="795">
        <v>0</v>
      </c>
      <c r="O127" s="795">
        <v>0</v>
      </c>
      <c r="P127" s="795">
        <v>0</v>
      </c>
      <c r="Q127" s="795">
        <v>0</v>
      </c>
      <c r="R127" s="795">
        <v>0</v>
      </c>
      <c r="S127" s="3041"/>
      <c r="T127" s="795">
        <v>0</v>
      </c>
      <c r="U127" s="795">
        <v>0</v>
      </c>
      <c r="V127" s="795">
        <v>0</v>
      </c>
      <c r="W127" s="795">
        <v>0</v>
      </c>
      <c r="X127" s="795">
        <v>0</v>
      </c>
      <c r="Y127" s="795">
        <v>0</v>
      </c>
      <c r="Z127" s="3041"/>
      <c r="AA127" s="3103"/>
      <c r="AB127" s="3104"/>
      <c r="AC127" s="3104"/>
      <c r="AD127" s="3104"/>
      <c r="AE127" s="3104"/>
      <c r="AF127" s="3105"/>
      <c r="AG127" s="307"/>
    </row>
    <row r="128" spans="1:33" s="262" customFormat="1" ht="24">
      <c r="A128" s="608">
        <v>18</v>
      </c>
      <c r="B128" s="1632" t="s">
        <v>957</v>
      </c>
      <c r="C128" s="1633">
        <v>0.04</v>
      </c>
      <c r="D128" s="1626" t="s">
        <v>594</v>
      </c>
      <c r="E128" s="3041"/>
      <c r="F128" s="795">
        <v>0</v>
      </c>
      <c r="G128" s="795">
        <v>0</v>
      </c>
      <c r="H128" s="795">
        <v>0</v>
      </c>
      <c r="I128" s="795">
        <v>0</v>
      </c>
      <c r="J128" s="795">
        <v>0</v>
      </c>
      <c r="K128" s="795">
        <v>0</v>
      </c>
      <c r="L128" s="3041"/>
      <c r="M128" s="795">
        <v>0</v>
      </c>
      <c r="N128" s="795">
        <v>0</v>
      </c>
      <c r="O128" s="795">
        <v>0</v>
      </c>
      <c r="P128" s="795">
        <v>0</v>
      </c>
      <c r="Q128" s="795">
        <v>0</v>
      </c>
      <c r="R128" s="795">
        <v>0</v>
      </c>
      <c r="S128" s="3041"/>
      <c r="T128" s="795">
        <v>0</v>
      </c>
      <c r="U128" s="795">
        <v>0</v>
      </c>
      <c r="V128" s="795">
        <v>0</v>
      </c>
      <c r="W128" s="795">
        <v>0</v>
      </c>
      <c r="X128" s="795">
        <v>0</v>
      </c>
      <c r="Y128" s="795">
        <v>0</v>
      </c>
      <c r="Z128" s="3041"/>
      <c r="AA128" s="3103"/>
      <c r="AB128" s="3104"/>
      <c r="AC128" s="3104"/>
      <c r="AD128" s="3104"/>
      <c r="AE128" s="3104"/>
      <c r="AF128" s="3105"/>
      <c r="AG128" s="307"/>
    </row>
    <row r="129" spans="1:33" s="262" customFormat="1">
      <c r="A129" s="608">
        <v>19</v>
      </c>
      <c r="B129" s="1632" t="s">
        <v>958</v>
      </c>
      <c r="C129" s="1633">
        <v>0.04</v>
      </c>
      <c r="D129" s="1626" t="s">
        <v>595</v>
      </c>
      <c r="E129" s="3041"/>
      <c r="F129" s="795">
        <v>0</v>
      </c>
      <c r="G129" s="795">
        <v>0</v>
      </c>
      <c r="H129" s="795">
        <v>0</v>
      </c>
      <c r="I129" s="795">
        <v>0</v>
      </c>
      <c r="J129" s="795">
        <v>0</v>
      </c>
      <c r="K129" s="795">
        <v>0</v>
      </c>
      <c r="L129" s="3041"/>
      <c r="M129" s="795">
        <v>0</v>
      </c>
      <c r="N129" s="795">
        <v>0</v>
      </c>
      <c r="O129" s="795">
        <v>0</v>
      </c>
      <c r="P129" s="795">
        <v>0</v>
      </c>
      <c r="Q129" s="795">
        <v>0</v>
      </c>
      <c r="R129" s="795">
        <v>0</v>
      </c>
      <c r="S129" s="3041"/>
      <c r="T129" s="795">
        <v>0</v>
      </c>
      <c r="U129" s="795">
        <v>0</v>
      </c>
      <c r="V129" s="795">
        <v>0</v>
      </c>
      <c r="W129" s="795">
        <v>0</v>
      </c>
      <c r="X129" s="795">
        <v>0</v>
      </c>
      <c r="Y129" s="795">
        <v>0</v>
      </c>
      <c r="Z129" s="3041"/>
      <c r="AA129" s="3103"/>
      <c r="AB129" s="3104"/>
      <c r="AC129" s="3104"/>
      <c r="AD129" s="3104"/>
      <c r="AE129" s="3104"/>
      <c r="AF129" s="3105"/>
      <c r="AG129" s="307"/>
    </row>
    <row r="130" spans="1:33" s="262" customFormat="1">
      <c r="A130" s="608">
        <v>20</v>
      </c>
      <c r="B130" s="1632" t="s">
        <v>970</v>
      </c>
      <c r="C130" s="1633">
        <v>0.04</v>
      </c>
      <c r="D130" s="1636" t="s">
        <v>606</v>
      </c>
      <c r="E130" s="3041"/>
      <c r="F130" s="795">
        <v>0</v>
      </c>
      <c r="G130" s="795">
        <v>0</v>
      </c>
      <c r="H130" s="795">
        <v>0</v>
      </c>
      <c r="I130" s="795">
        <v>0</v>
      </c>
      <c r="J130" s="795">
        <v>0</v>
      </c>
      <c r="K130" s="795">
        <v>0</v>
      </c>
      <c r="L130" s="3041"/>
      <c r="M130" s="795">
        <v>0</v>
      </c>
      <c r="N130" s="795">
        <v>0</v>
      </c>
      <c r="O130" s="795">
        <v>0</v>
      </c>
      <c r="P130" s="795">
        <v>0</v>
      </c>
      <c r="Q130" s="795">
        <v>0</v>
      </c>
      <c r="R130" s="795">
        <v>0</v>
      </c>
      <c r="S130" s="3041"/>
      <c r="T130" s="795">
        <v>0</v>
      </c>
      <c r="U130" s="795">
        <v>0</v>
      </c>
      <c r="V130" s="795">
        <v>0</v>
      </c>
      <c r="W130" s="795">
        <v>0</v>
      </c>
      <c r="X130" s="795">
        <v>0</v>
      </c>
      <c r="Y130" s="795">
        <v>0</v>
      </c>
      <c r="Z130" s="3041"/>
      <c r="AA130" s="3103"/>
      <c r="AB130" s="3104"/>
      <c r="AC130" s="3104"/>
      <c r="AD130" s="3104"/>
      <c r="AE130" s="3104"/>
      <c r="AF130" s="3105"/>
      <c r="AG130" s="307"/>
    </row>
    <row r="131" spans="1:33" s="262" customFormat="1" ht="24.75" thickBot="1">
      <c r="A131" s="608">
        <v>21</v>
      </c>
      <c r="B131" s="1632" t="s">
        <v>960</v>
      </c>
      <c r="C131" s="1845">
        <v>0.2</v>
      </c>
      <c r="D131" s="1626" t="s">
        <v>911</v>
      </c>
      <c r="E131" s="3041"/>
      <c r="F131" s="795">
        <v>0</v>
      </c>
      <c r="G131" s="795">
        <v>0</v>
      </c>
      <c r="H131" s="795">
        <v>0</v>
      </c>
      <c r="I131" s="795">
        <v>0</v>
      </c>
      <c r="J131" s="795">
        <v>0</v>
      </c>
      <c r="K131" s="795">
        <v>0</v>
      </c>
      <c r="L131" s="3041"/>
      <c r="M131" s="795">
        <v>0</v>
      </c>
      <c r="N131" s="795">
        <v>0</v>
      </c>
      <c r="O131" s="795">
        <v>0</v>
      </c>
      <c r="P131" s="795">
        <v>0</v>
      </c>
      <c r="Q131" s="795">
        <v>0</v>
      </c>
      <c r="R131" s="795">
        <v>0</v>
      </c>
      <c r="S131" s="3041"/>
      <c r="T131" s="795">
        <v>0</v>
      </c>
      <c r="U131" s="795">
        <v>0</v>
      </c>
      <c r="V131" s="795">
        <v>0</v>
      </c>
      <c r="W131" s="795">
        <v>0</v>
      </c>
      <c r="X131" s="795">
        <v>0</v>
      </c>
      <c r="Y131" s="795">
        <v>0</v>
      </c>
      <c r="Z131" s="3044"/>
      <c r="AA131" s="3106"/>
      <c r="AB131" s="3107"/>
      <c r="AC131" s="3107"/>
      <c r="AD131" s="3107"/>
      <c r="AE131" s="3107"/>
      <c r="AF131" s="3108"/>
      <c r="AG131" s="307"/>
    </row>
    <row r="132" spans="1:33" s="262" customFormat="1" ht="19.5" customHeight="1" thickBot="1">
      <c r="A132" s="3024" t="s">
        <v>644</v>
      </c>
      <c r="B132" s="3025"/>
      <c r="C132" s="3025"/>
      <c r="D132" s="3025" t="s">
        <v>1528</v>
      </c>
      <c r="E132" s="654">
        <f>SUM(E133:E153)</f>
        <v>0</v>
      </c>
      <c r="F132" s="655">
        <f>SUM(F133:F153)</f>
        <v>0</v>
      </c>
      <c r="G132" s="656">
        <f t="shared" ref="G132:AF132" si="135">SUM(G133:G153)</f>
        <v>0</v>
      </c>
      <c r="H132" s="656">
        <f t="shared" si="135"/>
        <v>5</v>
      </c>
      <c r="I132" s="656">
        <f t="shared" si="135"/>
        <v>10</v>
      </c>
      <c r="J132" s="656">
        <f t="shared" si="135"/>
        <v>0</v>
      </c>
      <c r="K132" s="657">
        <f t="shared" si="135"/>
        <v>140</v>
      </c>
      <c r="L132" s="341">
        <f t="shared" si="135"/>
        <v>0</v>
      </c>
      <c r="M132" s="655">
        <f t="shared" si="135"/>
        <v>0</v>
      </c>
      <c r="N132" s="656">
        <f t="shared" si="135"/>
        <v>0</v>
      </c>
      <c r="O132" s="656">
        <f t="shared" si="135"/>
        <v>0</v>
      </c>
      <c r="P132" s="656">
        <f t="shared" si="135"/>
        <v>0</v>
      </c>
      <c r="Q132" s="656">
        <f t="shared" si="135"/>
        <v>0</v>
      </c>
      <c r="R132" s="658">
        <f t="shared" si="135"/>
        <v>0</v>
      </c>
      <c r="S132" s="654">
        <f t="shared" si="135"/>
        <v>0</v>
      </c>
      <c r="T132" s="655">
        <f t="shared" si="135"/>
        <v>0</v>
      </c>
      <c r="U132" s="656">
        <f t="shared" si="135"/>
        <v>0</v>
      </c>
      <c r="V132" s="656">
        <f t="shared" si="135"/>
        <v>5</v>
      </c>
      <c r="W132" s="656">
        <f t="shared" si="135"/>
        <v>0</v>
      </c>
      <c r="X132" s="656">
        <f t="shared" si="135"/>
        <v>0</v>
      </c>
      <c r="Y132" s="658">
        <f t="shared" si="135"/>
        <v>0</v>
      </c>
      <c r="Z132" s="3109">
        <f t="shared" si="135"/>
        <v>0</v>
      </c>
      <c r="AA132" s="3110">
        <f t="shared" si="135"/>
        <v>0</v>
      </c>
      <c r="AB132" s="3111">
        <f t="shared" si="135"/>
        <v>0</v>
      </c>
      <c r="AC132" s="3111">
        <f t="shared" si="135"/>
        <v>0</v>
      </c>
      <c r="AD132" s="3111">
        <f t="shared" si="135"/>
        <v>0</v>
      </c>
      <c r="AE132" s="3111">
        <f t="shared" si="135"/>
        <v>0</v>
      </c>
      <c r="AF132" s="3112">
        <f t="shared" si="135"/>
        <v>0</v>
      </c>
      <c r="AG132" s="307"/>
    </row>
    <row r="133" spans="1:33" s="262" customFormat="1">
      <c r="A133" s="278">
        <v>1</v>
      </c>
      <c r="B133" s="1630" t="s">
        <v>949</v>
      </c>
      <c r="C133" s="1634">
        <v>0</v>
      </c>
      <c r="D133" s="1638" t="s">
        <v>760</v>
      </c>
      <c r="E133" s="3041"/>
      <c r="F133" s="795">
        <v>0</v>
      </c>
      <c r="G133" s="795">
        <v>0</v>
      </c>
      <c r="H133" s="795">
        <v>0</v>
      </c>
      <c r="I133" s="795">
        <v>0</v>
      </c>
      <c r="J133" s="795">
        <v>0</v>
      </c>
      <c r="K133" s="2420">
        <v>0</v>
      </c>
      <c r="L133" s="3041"/>
      <c r="M133" s="795">
        <v>0</v>
      </c>
      <c r="N133" s="795">
        <v>0</v>
      </c>
      <c r="O133" s="795">
        <v>0</v>
      </c>
      <c r="P133" s="795">
        <v>0</v>
      </c>
      <c r="Q133" s="795">
        <v>0</v>
      </c>
      <c r="R133" s="795">
        <v>0</v>
      </c>
      <c r="S133" s="3041"/>
      <c r="T133" s="795">
        <v>0</v>
      </c>
      <c r="U133" s="795">
        <v>0</v>
      </c>
      <c r="V133" s="795">
        <v>0</v>
      </c>
      <c r="W133" s="795">
        <v>0</v>
      </c>
      <c r="X133" s="795">
        <v>0</v>
      </c>
      <c r="Y133" s="795">
        <v>0</v>
      </c>
      <c r="Z133" s="3099"/>
      <c r="AA133" s="3100"/>
      <c r="AB133" s="3101"/>
      <c r="AC133" s="3101"/>
      <c r="AD133" s="3101"/>
      <c r="AE133" s="3101"/>
      <c r="AF133" s="3102"/>
      <c r="AG133" s="307"/>
    </row>
    <row r="134" spans="1:33" s="262" customFormat="1">
      <c r="A134" s="278">
        <v>2</v>
      </c>
      <c r="B134" s="1632" t="s">
        <v>950</v>
      </c>
      <c r="C134" s="1634">
        <v>0.03</v>
      </c>
      <c r="D134" s="1636" t="s">
        <v>598</v>
      </c>
      <c r="E134" s="3041"/>
      <c r="F134" s="795">
        <v>0</v>
      </c>
      <c r="G134" s="795">
        <v>0</v>
      </c>
      <c r="H134" s="795">
        <v>0</v>
      </c>
      <c r="I134" s="795">
        <v>0</v>
      </c>
      <c r="J134" s="795">
        <v>0</v>
      </c>
      <c r="K134" s="2420">
        <v>0</v>
      </c>
      <c r="L134" s="3041"/>
      <c r="M134" s="795">
        <v>0</v>
      </c>
      <c r="N134" s="795">
        <v>0</v>
      </c>
      <c r="O134" s="795">
        <v>0</v>
      </c>
      <c r="P134" s="795">
        <v>0</v>
      </c>
      <c r="Q134" s="795">
        <v>0</v>
      </c>
      <c r="R134" s="795">
        <v>0</v>
      </c>
      <c r="S134" s="3041"/>
      <c r="T134" s="795">
        <v>0</v>
      </c>
      <c r="U134" s="795">
        <v>0</v>
      </c>
      <c r="V134" s="795">
        <v>0</v>
      </c>
      <c r="W134" s="795">
        <v>0</v>
      </c>
      <c r="X134" s="795">
        <v>0</v>
      </c>
      <c r="Y134" s="795">
        <v>0</v>
      </c>
      <c r="Z134" s="3041"/>
      <c r="AA134" s="3103"/>
      <c r="AB134" s="3104"/>
      <c r="AC134" s="3104"/>
      <c r="AD134" s="3104"/>
      <c r="AE134" s="3104"/>
      <c r="AF134" s="3105"/>
      <c r="AG134" s="307"/>
    </row>
    <row r="135" spans="1:33" s="262" customFormat="1">
      <c r="A135" s="278">
        <v>3</v>
      </c>
      <c r="B135" s="1632">
        <v>911301</v>
      </c>
      <c r="C135" s="1633">
        <v>0.1</v>
      </c>
      <c r="D135" s="1636" t="s">
        <v>599</v>
      </c>
      <c r="E135" s="3041"/>
      <c r="F135" s="795">
        <v>0</v>
      </c>
      <c r="G135" s="795">
        <v>0</v>
      </c>
      <c r="H135" s="795">
        <v>0</v>
      </c>
      <c r="I135" s="795">
        <v>0</v>
      </c>
      <c r="J135" s="795">
        <v>0</v>
      </c>
      <c r="K135" s="2420">
        <v>0</v>
      </c>
      <c r="L135" s="3041"/>
      <c r="M135" s="795">
        <v>0</v>
      </c>
      <c r="N135" s="795">
        <v>0</v>
      </c>
      <c r="O135" s="795">
        <v>0</v>
      </c>
      <c r="P135" s="795">
        <v>0</v>
      </c>
      <c r="Q135" s="795">
        <v>0</v>
      </c>
      <c r="R135" s="795">
        <v>0</v>
      </c>
      <c r="S135" s="3041"/>
      <c r="T135" s="795">
        <v>0</v>
      </c>
      <c r="U135" s="795">
        <v>0</v>
      </c>
      <c r="V135" s="795">
        <v>0</v>
      </c>
      <c r="W135" s="795">
        <v>0</v>
      </c>
      <c r="X135" s="795">
        <v>0</v>
      </c>
      <c r="Y135" s="795">
        <v>0</v>
      </c>
      <c r="Z135" s="3041"/>
      <c r="AA135" s="3103"/>
      <c r="AB135" s="3104"/>
      <c r="AC135" s="3104"/>
      <c r="AD135" s="3104"/>
      <c r="AE135" s="3104"/>
      <c r="AF135" s="3105"/>
      <c r="AG135" s="307"/>
    </row>
    <row r="136" spans="1:33" s="262" customFormat="1">
      <c r="A136" s="278">
        <v>4</v>
      </c>
      <c r="B136" s="1632">
        <v>911302</v>
      </c>
      <c r="C136" s="1633">
        <v>0.1</v>
      </c>
      <c r="D136" s="1636" t="s">
        <v>600</v>
      </c>
      <c r="E136" s="3041"/>
      <c r="F136" s="795">
        <v>0</v>
      </c>
      <c r="G136" s="795">
        <v>0</v>
      </c>
      <c r="H136" s="795">
        <v>0</v>
      </c>
      <c r="I136" s="795">
        <v>0</v>
      </c>
      <c r="J136" s="795">
        <v>0</v>
      </c>
      <c r="K136" s="2420">
        <v>10</v>
      </c>
      <c r="L136" s="3041"/>
      <c r="M136" s="795">
        <v>0</v>
      </c>
      <c r="N136" s="795">
        <v>0</v>
      </c>
      <c r="O136" s="795">
        <v>0</v>
      </c>
      <c r="P136" s="795">
        <v>0</v>
      </c>
      <c r="Q136" s="795">
        <v>0</v>
      </c>
      <c r="R136" s="795">
        <v>0</v>
      </c>
      <c r="S136" s="3041"/>
      <c r="T136" s="795">
        <v>0</v>
      </c>
      <c r="U136" s="795">
        <v>0</v>
      </c>
      <c r="V136" s="795">
        <v>0</v>
      </c>
      <c r="W136" s="795">
        <v>0</v>
      </c>
      <c r="X136" s="795">
        <v>0</v>
      </c>
      <c r="Y136" s="795">
        <v>0</v>
      </c>
      <c r="Z136" s="3041"/>
      <c r="AA136" s="3103"/>
      <c r="AB136" s="3104"/>
      <c r="AC136" s="3104"/>
      <c r="AD136" s="3104"/>
      <c r="AE136" s="3104"/>
      <c r="AF136" s="3105"/>
      <c r="AG136" s="307"/>
    </row>
    <row r="137" spans="1:33" s="262" customFormat="1">
      <c r="A137" s="278">
        <v>5</v>
      </c>
      <c r="B137" s="1632" t="s">
        <v>967</v>
      </c>
      <c r="C137" s="1633">
        <v>0.1</v>
      </c>
      <c r="D137" s="1626" t="s">
        <v>579</v>
      </c>
      <c r="E137" s="3041"/>
      <c r="F137" s="795">
        <v>0</v>
      </c>
      <c r="G137" s="795">
        <v>0</v>
      </c>
      <c r="H137" s="795">
        <v>0</v>
      </c>
      <c r="I137" s="795">
        <v>0</v>
      </c>
      <c r="J137" s="795">
        <v>0</v>
      </c>
      <c r="K137" s="2420">
        <v>120</v>
      </c>
      <c r="L137" s="3041"/>
      <c r="M137" s="795">
        <v>0</v>
      </c>
      <c r="N137" s="795">
        <v>0</v>
      </c>
      <c r="O137" s="795">
        <v>0</v>
      </c>
      <c r="P137" s="795">
        <v>0</v>
      </c>
      <c r="Q137" s="795">
        <v>0</v>
      </c>
      <c r="R137" s="795">
        <v>0</v>
      </c>
      <c r="S137" s="3041"/>
      <c r="T137" s="795">
        <v>0</v>
      </c>
      <c r="U137" s="795">
        <v>0</v>
      </c>
      <c r="V137" s="795">
        <v>0</v>
      </c>
      <c r="W137" s="795">
        <v>0</v>
      </c>
      <c r="X137" s="795">
        <v>0</v>
      </c>
      <c r="Y137" s="795">
        <v>0</v>
      </c>
      <c r="Z137" s="3041"/>
      <c r="AA137" s="3103"/>
      <c r="AB137" s="3104"/>
      <c r="AC137" s="3104"/>
      <c r="AD137" s="3104"/>
      <c r="AE137" s="3104"/>
      <c r="AF137" s="3105"/>
      <c r="AG137" s="307"/>
    </row>
    <row r="138" spans="1:33" s="262" customFormat="1">
      <c r="A138" s="278">
        <v>6</v>
      </c>
      <c r="B138" s="1632" t="s">
        <v>968</v>
      </c>
      <c r="C138" s="1633">
        <v>0.1</v>
      </c>
      <c r="D138" s="1626" t="s">
        <v>580</v>
      </c>
      <c r="E138" s="3041"/>
      <c r="F138" s="795">
        <v>0</v>
      </c>
      <c r="G138" s="795">
        <v>0</v>
      </c>
      <c r="H138" s="795">
        <v>0</v>
      </c>
      <c r="I138" s="795">
        <v>0</v>
      </c>
      <c r="J138" s="795">
        <v>0</v>
      </c>
      <c r="K138" s="2420">
        <v>0</v>
      </c>
      <c r="L138" s="3041"/>
      <c r="M138" s="795">
        <v>0</v>
      </c>
      <c r="N138" s="795">
        <v>0</v>
      </c>
      <c r="O138" s="795">
        <v>0</v>
      </c>
      <c r="P138" s="795">
        <v>0</v>
      </c>
      <c r="Q138" s="795">
        <v>0</v>
      </c>
      <c r="R138" s="795">
        <v>0</v>
      </c>
      <c r="S138" s="3041"/>
      <c r="T138" s="795">
        <v>0</v>
      </c>
      <c r="U138" s="795">
        <v>0</v>
      </c>
      <c r="V138" s="795">
        <v>0</v>
      </c>
      <c r="W138" s="795">
        <v>0</v>
      </c>
      <c r="X138" s="795">
        <v>0</v>
      </c>
      <c r="Y138" s="795">
        <v>0</v>
      </c>
      <c r="Z138" s="3041"/>
      <c r="AA138" s="3103"/>
      <c r="AB138" s="3104"/>
      <c r="AC138" s="3104"/>
      <c r="AD138" s="3104"/>
      <c r="AE138" s="3104"/>
      <c r="AF138" s="3105"/>
      <c r="AG138" s="307"/>
    </row>
    <row r="139" spans="1:33" s="262" customFormat="1" ht="24">
      <c r="A139" s="278">
        <v>7</v>
      </c>
      <c r="B139" s="1632" t="s">
        <v>959</v>
      </c>
      <c r="C139" s="1633">
        <v>0.1</v>
      </c>
      <c r="D139" s="1626" t="s">
        <v>948</v>
      </c>
      <c r="E139" s="3041"/>
      <c r="F139" s="795">
        <v>0</v>
      </c>
      <c r="G139" s="795">
        <v>0</v>
      </c>
      <c r="H139" s="795">
        <v>0</v>
      </c>
      <c r="I139" s="795">
        <v>0</v>
      </c>
      <c r="J139" s="795">
        <v>0</v>
      </c>
      <c r="K139" s="2420">
        <v>0</v>
      </c>
      <c r="L139" s="3041"/>
      <c r="M139" s="795">
        <v>0</v>
      </c>
      <c r="N139" s="795">
        <v>0</v>
      </c>
      <c r="O139" s="795">
        <v>0</v>
      </c>
      <c r="P139" s="795">
        <v>0</v>
      </c>
      <c r="Q139" s="795">
        <v>0</v>
      </c>
      <c r="R139" s="795">
        <v>0</v>
      </c>
      <c r="S139" s="3041"/>
      <c r="T139" s="795">
        <v>0</v>
      </c>
      <c r="U139" s="795">
        <v>0</v>
      </c>
      <c r="V139" s="795">
        <v>0</v>
      </c>
      <c r="W139" s="795">
        <v>0</v>
      </c>
      <c r="X139" s="795">
        <v>0</v>
      </c>
      <c r="Y139" s="795">
        <v>0</v>
      </c>
      <c r="Z139" s="3041"/>
      <c r="AA139" s="3103"/>
      <c r="AB139" s="3104"/>
      <c r="AC139" s="3104"/>
      <c r="AD139" s="3104"/>
      <c r="AE139" s="3104"/>
      <c r="AF139" s="3105"/>
      <c r="AG139" s="307"/>
    </row>
    <row r="140" spans="1:33" s="262" customFormat="1">
      <c r="A140" s="278">
        <v>8</v>
      </c>
      <c r="B140" s="1632" t="s">
        <v>969</v>
      </c>
      <c r="C140" s="1633">
        <v>0.1</v>
      </c>
      <c r="D140" s="1626" t="s">
        <v>966</v>
      </c>
      <c r="E140" s="3041"/>
      <c r="F140" s="795">
        <v>0</v>
      </c>
      <c r="G140" s="795">
        <v>0</v>
      </c>
      <c r="H140" s="795">
        <v>0</v>
      </c>
      <c r="I140" s="795">
        <v>0</v>
      </c>
      <c r="J140" s="795">
        <v>0</v>
      </c>
      <c r="K140" s="2420">
        <v>0</v>
      </c>
      <c r="L140" s="3041"/>
      <c r="M140" s="795">
        <v>0</v>
      </c>
      <c r="N140" s="795">
        <v>0</v>
      </c>
      <c r="O140" s="795">
        <v>0</v>
      </c>
      <c r="P140" s="795">
        <v>0</v>
      </c>
      <c r="Q140" s="795">
        <v>0</v>
      </c>
      <c r="R140" s="795">
        <v>0</v>
      </c>
      <c r="S140" s="3041"/>
      <c r="T140" s="795">
        <v>0</v>
      </c>
      <c r="U140" s="795">
        <v>0</v>
      </c>
      <c r="V140" s="795">
        <v>0</v>
      </c>
      <c r="W140" s="795">
        <v>0</v>
      </c>
      <c r="X140" s="795">
        <v>0</v>
      </c>
      <c r="Y140" s="795">
        <v>0</v>
      </c>
      <c r="Z140" s="3041"/>
      <c r="AA140" s="3103"/>
      <c r="AB140" s="3104"/>
      <c r="AC140" s="3104"/>
      <c r="AD140" s="3104"/>
      <c r="AE140" s="3104"/>
      <c r="AF140" s="3105"/>
      <c r="AG140" s="307"/>
    </row>
    <row r="141" spans="1:33" s="262" customFormat="1">
      <c r="A141" s="608">
        <v>9</v>
      </c>
      <c r="B141" s="1632">
        <v>911306</v>
      </c>
      <c r="C141" s="1633">
        <v>0.1</v>
      </c>
      <c r="D141" s="1636" t="s">
        <v>1471</v>
      </c>
      <c r="E141" s="3041"/>
      <c r="F141" s="795">
        <v>0</v>
      </c>
      <c r="G141" s="795">
        <v>0</v>
      </c>
      <c r="H141" s="795">
        <v>0</v>
      </c>
      <c r="I141" s="795">
        <v>0</v>
      </c>
      <c r="J141" s="795">
        <v>0</v>
      </c>
      <c r="K141" s="2420">
        <v>10</v>
      </c>
      <c r="L141" s="3041"/>
      <c r="M141" s="795">
        <v>0</v>
      </c>
      <c r="N141" s="795">
        <v>0</v>
      </c>
      <c r="O141" s="795">
        <v>0</v>
      </c>
      <c r="P141" s="795">
        <v>0</v>
      </c>
      <c r="Q141" s="795">
        <v>0</v>
      </c>
      <c r="R141" s="795">
        <v>0</v>
      </c>
      <c r="S141" s="3041"/>
      <c r="T141" s="795">
        <v>0</v>
      </c>
      <c r="U141" s="795">
        <v>0</v>
      </c>
      <c r="V141" s="795">
        <v>0</v>
      </c>
      <c r="W141" s="795">
        <v>0</v>
      </c>
      <c r="X141" s="795">
        <v>0</v>
      </c>
      <c r="Y141" s="795">
        <v>0</v>
      </c>
      <c r="Z141" s="3041"/>
      <c r="AA141" s="3103"/>
      <c r="AB141" s="3104"/>
      <c r="AC141" s="3104"/>
      <c r="AD141" s="3104"/>
      <c r="AE141" s="3104"/>
      <c r="AF141" s="3105"/>
      <c r="AG141" s="307"/>
    </row>
    <row r="142" spans="1:33" s="262" customFormat="1">
      <c r="A142" s="608">
        <v>10</v>
      </c>
      <c r="B142" s="1632">
        <v>91140101</v>
      </c>
      <c r="C142" s="1637">
        <v>0.1</v>
      </c>
      <c r="D142" s="1638" t="s">
        <v>1442</v>
      </c>
      <c r="E142" s="3041"/>
      <c r="F142" s="795">
        <v>0</v>
      </c>
      <c r="G142" s="795">
        <v>0</v>
      </c>
      <c r="H142" s="795">
        <v>0</v>
      </c>
      <c r="I142" s="795">
        <v>0</v>
      </c>
      <c r="J142" s="795">
        <v>0</v>
      </c>
      <c r="K142" s="2420">
        <v>0</v>
      </c>
      <c r="L142" s="3041"/>
      <c r="M142" s="795">
        <v>0</v>
      </c>
      <c r="N142" s="795">
        <v>0</v>
      </c>
      <c r="O142" s="795">
        <v>0</v>
      </c>
      <c r="P142" s="795">
        <v>0</v>
      </c>
      <c r="Q142" s="795">
        <v>0</v>
      </c>
      <c r="R142" s="795">
        <v>0</v>
      </c>
      <c r="S142" s="3041"/>
      <c r="T142" s="795">
        <v>0</v>
      </c>
      <c r="U142" s="795">
        <v>0</v>
      </c>
      <c r="V142" s="795">
        <v>0</v>
      </c>
      <c r="W142" s="795">
        <v>0</v>
      </c>
      <c r="X142" s="795">
        <v>0</v>
      </c>
      <c r="Y142" s="795">
        <v>0</v>
      </c>
      <c r="Z142" s="3041"/>
      <c r="AA142" s="3103"/>
      <c r="AB142" s="3104"/>
      <c r="AC142" s="3104"/>
      <c r="AD142" s="3104"/>
      <c r="AE142" s="3104"/>
      <c r="AF142" s="3105"/>
      <c r="AG142" s="307"/>
    </row>
    <row r="143" spans="1:33" s="262" customFormat="1">
      <c r="A143" s="608">
        <v>11</v>
      </c>
      <c r="B143" s="1632">
        <v>91140102</v>
      </c>
      <c r="C143" s="1637">
        <v>0.04</v>
      </c>
      <c r="D143" s="1638" t="s">
        <v>604</v>
      </c>
      <c r="E143" s="3041"/>
      <c r="F143" s="795">
        <v>0</v>
      </c>
      <c r="G143" s="795">
        <v>0</v>
      </c>
      <c r="H143" s="795">
        <v>0</v>
      </c>
      <c r="I143" s="795">
        <v>0</v>
      </c>
      <c r="J143" s="795">
        <v>0</v>
      </c>
      <c r="K143" s="2420">
        <v>0</v>
      </c>
      <c r="L143" s="3041"/>
      <c r="M143" s="795">
        <v>0</v>
      </c>
      <c r="N143" s="795">
        <v>0</v>
      </c>
      <c r="O143" s="795">
        <v>0</v>
      </c>
      <c r="P143" s="795">
        <v>0</v>
      </c>
      <c r="Q143" s="795">
        <v>0</v>
      </c>
      <c r="R143" s="795">
        <v>0</v>
      </c>
      <c r="S143" s="3041"/>
      <c r="T143" s="795">
        <v>0</v>
      </c>
      <c r="U143" s="795">
        <v>0</v>
      </c>
      <c r="V143" s="795">
        <v>0</v>
      </c>
      <c r="W143" s="795">
        <v>0</v>
      </c>
      <c r="X143" s="795">
        <v>0</v>
      </c>
      <c r="Y143" s="795">
        <v>0</v>
      </c>
      <c r="Z143" s="3041"/>
      <c r="AA143" s="3103"/>
      <c r="AB143" s="3104"/>
      <c r="AC143" s="3104"/>
      <c r="AD143" s="3104"/>
      <c r="AE143" s="3104"/>
      <c r="AF143" s="3105"/>
      <c r="AG143" s="307"/>
    </row>
    <row r="144" spans="1:33" s="262" customFormat="1">
      <c r="A144" s="608">
        <v>12</v>
      </c>
      <c r="B144" s="1632" t="s">
        <v>951</v>
      </c>
      <c r="C144" s="1633">
        <v>0.02</v>
      </c>
      <c r="D144" s="1624" t="s">
        <v>1007</v>
      </c>
      <c r="E144" s="3041"/>
      <c r="F144" s="795">
        <v>0</v>
      </c>
      <c r="G144" s="795">
        <v>0</v>
      </c>
      <c r="H144" s="795">
        <v>0</v>
      </c>
      <c r="I144" s="795">
        <v>0</v>
      </c>
      <c r="J144" s="795">
        <v>0</v>
      </c>
      <c r="K144" s="2420">
        <v>0</v>
      </c>
      <c r="L144" s="3041"/>
      <c r="M144" s="795">
        <v>0</v>
      </c>
      <c r="N144" s="795">
        <v>0</v>
      </c>
      <c r="O144" s="795">
        <v>0</v>
      </c>
      <c r="P144" s="795">
        <v>0</v>
      </c>
      <c r="Q144" s="795">
        <v>0</v>
      </c>
      <c r="R144" s="795">
        <v>0</v>
      </c>
      <c r="S144" s="3041"/>
      <c r="T144" s="795">
        <v>0</v>
      </c>
      <c r="U144" s="795">
        <v>0</v>
      </c>
      <c r="V144" s="795">
        <v>0</v>
      </c>
      <c r="W144" s="795">
        <v>0</v>
      </c>
      <c r="X144" s="795">
        <v>0</v>
      </c>
      <c r="Y144" s="795">
        <v>0</v>
      </c>
      <c r="Z144" s="3041"/>
      <c r="AA144" s="3103"/>
      <c r="AB144" s="3104"/>
      <c r="AC144" s="3104"/>
      <c r="AD144" s="3104"/>
      <c r="AE144" s="3104"/>
      <c r="AF144" s="3105"/>
      <c r="AG144" s="307"/>
    </row>
    <row r="145" spans="1:33" s="262" customFormat="1">
      <c r="A145" s="608">
        <v>13</v>
      </c>
      <c r="B145" s="1632" t="s">
        <v>952</v>
      </c>
      <c r="C145" s="1633">
        <v>0.02</v>
      </c>
      <c r="D145" s="1624" t="s">
        <v>1008</v>
      </c>
      <c r="E145" s="3041"/>
      <c r="F145" s="795">
        <v>0</v>
      </c>
      <c r="G145" s="795">
        <v>0</v>
      </c>
      <c r="H145" s="795">
        <v>0</v>
      </c>
      <c r="I145" s="795">
        <v>0</v>
      </c>
      <c r="J145" s="795">
        <v>0</v>
      </c>
      <c r="K145" s="2420">
        <v>0</v>
      </c>
      <c r="L145" s="3041"/>
      <c r="M145" s="795">
        <v>0</v>
      </c>
      <c r="N145" s="795">
        <v>0</v>
      </c>
      <c r="O145" s="795">
        <v>0</v>
      </c>
      <c r="P145" s="795">
        <v>0</v>
      </c>
      <c r="Q145" s="795">
        <v>0</v>
      </c>
      <c r="R145" s="795">
        <v>0</v>
      </c>
      <c r="S145" s="3041"/>
      <c r="T145" s="795">
        <v>0</v>
      </c>
      <c r="U145" s="795">
        <v>0</v>
      </c>
      <c r="V145" s="795">
        <v>0</v>
      </c>
      <c r="W145" s="795">
        <v>0</v>
      </c>
      <c r="X145" s="795">
        <v>0</v>
      </c>
      <c r="Y145" s="795">
        <v>0</v>
      </c>
      <c r="Z145" s="3041"/>
      <c r="AA145" s="3103"/>
      <c r="AB145" s="3104"/>
      <c r="AC145" s="3104"/>
      <c r="AD145" s="3104"/>
      <c r="AE145" s="3104"/>
      <c r="AF145" s="3105"/>
      <c r="AG145" s="307"/>
    </row>
    <row r="146" spans="1:33" s="262" customFormat="1">
      <c r="A146" s="608">
        <v>14</v>
      </c>
      <c r="B146" s="1632" t="s">
        <v>953</v>
      </c>
      <c r="C146" s="1633">
        <v>0.02</v>
      </c>
      <c r="D146" s="1624" t="s">
        <v>590</v>
      </c>
      <c r="E146" s="3041"/>
      <c r="F146" s="795">
        <v>0</v>
      </c>
      <c r="G146" s="795">
        <v>0</v>
      </c>
      <c r="H146" s="795">
        <v>0</v>
      </c>
      <c r="I146" s="795">
        <v>0</v>
      </c>
      <c r="J146" s="795">
        <v>0</v>
      </c>
      <c r="K146" s="2420">
        <v>0</v>
      </c>
      <c r="L146" s="3041"/>
      <c r="M146" s="795">
        <v>0</v>
      </c>
      <c r="N146" s="795">
        <v>0</v>
      </c>
      <c r="O146" s="795">
        <v>0</v>
      </c>
      <c r="P146" s="795">
        <v>0</v>
      </c>
      <c r="Q146" s="795">
        <v>0</v>
      </c>
      <c r="R146" s="795">
        <v>0</v>
      </c>
      <c r="S146" s="3041"/>
      <c r="T146" s="795">
        <v>0</v>
      </c>
      <c r="U146" s="795">
        <v>0</v>
      </c>
      <c r="V146" s="795">
        <v>0</v>
      </c>
      <c r="W146" s="795">
        <v>0</v>
      </c>
      <c r="X146" s="795">
        <v>0</v>
      </c>
      <c r="Y146" s="795">
        <v>0</v>
      </c>
      <c r="Z146" s="3041"/>
      <c r="AA146" s="3103"/>
      <c r="AB146" s="3104"/>
      <c r="AC146" s="3104"/>
      <c r="AD146" s="3104"/>
      <c r="AE146" s="3104"/>
      <c r="AF146" s="3105"/>
      <c r="AG146" s="307"/>
    </row>
    <row r="147" spans="1:33" s="262" customFormat="1">
      <c r="A147" s="608">
        <v>15</v>
      </c>
      <c r="B147" s="1632" t="s">
        <v>954</v>
      </c>
      <c r="C147" s="1633">
        <v>0.02</v>
      </c>
      <c r="D147" s="1638" t="s">
        <v>591</v>
      </c>
      <c r="E147" s="3041"/>
      <c r="F147" s="795">
        <v>0</v>
      </c>
      <c r="G147" s="795">
        <v>0</v>
      </c>
      <c r="H147" s="795">
        <v>0</v>
      </c>
      <c r="I147" s="795">
        <v>0</v>
      </c>
      <c r="J147" s="795">
        <v>0</v>
      </c>
      <c r="K147" s="2420">
        <v>0</v>
      </c>
      <c r="L147" s="3041"/>
      <c r="M147" s="795">
        <v>0</v>
      </c>
      <c r="N147" s="795">
        <v>0</v>
      </c>
      <c r="O147" s="795">
        <v>0</v>
      </c>
      <c r="P147" s="795">
        <v>0</v>
      </c>
      <c r="Q147" s="795">
        <v>0</v>
      </c>
      <c r="R147" s="795">
        <v>0</v>
      </c>
      <c r="S147" s="3041"/>
      <c r="T147" s="795">
        <v>0</v>
      </c>
      <c r="U147" s="795">
        <v>0</v>
      </c>
      <c r="V147" s="795">
        <v>0</v>
      </c>
      <c r="W147" s="795">
        <v>0</v>
      </c>
      <c r="X147" s="795">
        <v>0</v>
      </c>
      <c r="Y147" s="795">
        <v>0</v>
      </c>
      <c r="Z147" s="3041"/>
      <c r="AA147" s="3103"/>
      <c r="AB147" s="3104"/>
      <c r="AC147" s="3104"/>
      <c r="AD147" s="3104"/>
      <c r="AE147" s="3104"/>
      <c r="AF147" s="3105"/>
      <c r="AG147" s="307"/>
    </row>
    <row r="148" spans="1:33" s="262" customFormat="1">
      <c r="A148" s="608">
        <v>16</v>
      </c>
      <c r="B148" s="1632" t="s">
        <v>955</v>
      </c>
      <c r="C148" s="1633">
        <v>0.02</v>
      </c>
      <c r="D148" s="1624" t="s">
        <v>592</v>
      </c>
      <c r="E148" s="3041"/>
      <c r="F148" s="795">
        <v>0</v>
      </c>
      <c r="G148" s="795">
        <v>0</v>
      </c>
      <c r="H148" s="795">
        <v>0</v>
      </c>
      <c r="I148" s="795">
        <v>0</v>
      </c>
      <c r="J148" s="795">
        <v>0</v>
      </c>
      <c r="K148" s="2420">
        <v>0</v>
      </c>
      <c r="L148" s="3041"/>
      <c r="M148" s="795">
        <v>0</v>
      </c>
      <c r="N148" s="795">
        <v>0</v>
      </c>
      <c r="O148" s="795">
        <v>0</v>
      </c>
      <c r="P148" s="795">
        <v>0</v>
      </c>
      <c r="Q148" s="795">
        <v>0</v>
      </c>
      <c r="R148" s="795">
        <v>0</v>
      </c>
      <c r="S148" s="3041"/>
      <c r="T148" s="795">
        <v>0</v>
      </c>
      <c r="U148" s="795">
        <v>0</v>
      </c>
      <c r="V148" s="795">
        <v>0</v>
      </c>
      <c r="W148" s="795">
        <v>0</v>
      </c>
      <c r="X148" s="795">
        <v>0</v>
      </c>
      <c r="Y148" s="795">
        <v>0</v>
      </c>
      <c r="Z148" s="3041"/>
      <c r="AA148" s="3103"/>
      <c r="AB148" s="3104"/>
      <c r="AC148" s="3104"/>
      <c r="AD148" s="3104"/>
      <c r="AE148" s="3104"/>
      <c r="AF148" s="3105"/>
      <c r="AG148" s="307"/>
    </row>
    <row r="149" spans="1:33" s="262" customFormat="1">
      <c r="A149" s="608">
        <v>17</v>
      </c>
      <c r="B149" s="1632" t="s">
        <v>956</v>
      </c>
      <c r="C149" s="1633">
        <v>0.02</v>
      </c>
      <c r="D149" s="1626" t="s">
        <v>593</v>
      </c>
      <c r="E149" s="3041"/>
      <c r="F149" s="795">
        <v>0</v>
      </c>
      <c r="G149" s="795">
        <v>0</v>
      </c>
      <c r="H149" s="795">
        <v>0</v>
      </c>
      <c r="I149" s="795">
        <v>0</v>
      </c>
      <c r="J149" s="795">
        <v>0</v>
      </c>
      <c r="K149" s="2420">
        <v>0</v>
      </c>
      <c r="L149" s="3041"/>
      <c r="M149" s="795">
        <v>0</v>
      </c>
      <c r="N149" s="795">
        <v>0</v>
      </c>
      <c r="O149" s="795">
        <v>0</v>
      </c>
      <c r="P149" s="795">
        <v>0</v>
      </c>
      <c r="Q149" s="795">
        <v>0</v>
      </c>
      <c r="R149" s="795">
        <v>0</v>
      </c>
      <c r="S149" s="3041"/>
      <c r="T149" s="795">
        <v>0</v>
      </c>
      <c r="U149" s="795">
        <v>0</v>
      </c>
      <c r="V149" s="795">
        <v>0</v>
      </c>
      <c r="W149" s="795">
        <v>0</v>
      </c>
      <c r="X149" s="795">
        <v>0</v>
      </c>
      <c r="Y149" s="795">
        <v>0</v>
      </c>
      <c r="Z149" s="3041"/>
      <c r="AA149" s="3103"/>
      <c r="AB149" s="3104"/>
      <c r="AC149" s="3104"/>
      <c r="AD149" s="3104"/>
      <c r="AE149" s="3104"/>
      <c r="AF149" s="3105"/>
      <c r="AG149" s="307"/>
    </row>
    <row r="150" spans="1:33" s="262" customFormat="1" ht="24">
      <c r="A150" s="608">
        <v>18</v>
      </c>
      <c r="B150" s="1632" t="s">
        <v>957</v>
      </c>
      <c r="C150" s="1633">
        <v>0.04</v>
      </c>
      <c r="D150" s="1626" t="s">
        <v>594</v>
      </c>
      <c r="E150" s="3041"/>
      <c r="F150" s="795">
        <v>0</v>
      </c>
      <c r="G150" s="795">
        <v>0</v>
      </c>
      <c r="H150" s="795">
        <v>0</v>
      </c>
      <c r="I150" s="795">
        <v>0</v>
      </c>
      <c r="J150" s="795">
        <v>0</v>
      </c>
      <c r="K150" s="2420">
        <v>0</v>
      </c>
      <c r="L150" s="3041"/>
      <c r="M150" s="795">
        <v>0</v>
      </c>
      <c r="N150" s="795">
        <v>0</v>
      </c>
      <c r="O150" s="795">
        <v>0</v>
      </c>
      <c r="P150" s="795">
        <v>0</v>
      </c>
      <c r="Q150" s="795">
        <v>0</v>
      </c>
      <c r="R150" s="795">
        <v>0</v>
      </c>
      <c r="S150" s="3041"/>
      <c r="T150" s="795">
        <v>0</v>
      </c>
      <c r="U150" s="795">
        <v>0</v>
      </c>
      <c r="V150" s="795">
        <v>0</v>
      </c>
      <c r="W150" s="795">
        <v>0</v>
      </c>
      <c r="X150" s="795">
        <v>0</v>
      </c>
      <c r="Y150" s="795">
        <v>0</v>
      </c>
      <c r="Z150" s="3041"/>
      <c r="AA150" s="3103"/>
      <c r="AB150" s="3104"/>
      <c r="AC150" s="3104"/>
      <c r="AD150" s="3104"/>
      <c r="AE150" s="3104"/>
      <c r="AF150" s="3105"/>
      <c r="AG150" s="307"/>
    </row>
    <row r="151" spans="1:33" s="262" customFormat="1">
      <c r="A151" s="608">
        <v>19</v>
      </c>
      <c r="B151" s="1632" t="s">
        <v>958</v>
      </c>
      <c r="C151" s="1633">
        <v>0.04</v>
      </c>
      <c r="D151" s="1626" t="s">
        <v>595</v>
      </c>
      <c r="E151" s="3041"/>
      <c r="F151" s="795">
        <v>0</v>
      </c>
      <c r="G151" s="795">
        <v>0</v>
      </c>
      <c r="H151" s="795">
        <v>0</v>
      </c>
      <c r="I151" s="795">
        <v>0</v>
      </c>
      <c r="J151" s="795">
        <v>0</v>
      </c>
      <c r="K151" s="2420">
        <v>0</v>
      </c>
      <c r="L151" s="3041"/>
      <c r="M151" s="795">
        <v>0</v>
      </c>
      <c r="N151" s="795">
        <v>0</v>
      </c>
      <c r="O151" s="795">
        <v>0</v>
      </c>
      <c r="P151" s="795">
        <v>0</v>
      </c>
      <c r="Q151" s="795">
        <v>0</v>
      </c>
      <c r="R151" s="795">
        <v>0</v>
      </c>
      <c r="S151" s="3041"/>
      <c r="T151" s="795">
        <v>0</v>
      </c>
      <c r="U151" s="795">
        <v>0</v>
      </c>
      <c r="V151" s="795">
        <v>0</v>
      </c>
      <c r="W151" s="795">
        <v>0</v>
      </c>
      <c r="X151" s="795">
        <v>0</v>
      </c>
      <c r="Y151" s="795">
        <v>0</v>
      </c>
      <c r="Z151" s="3041"/>
      <c r="AA151" s="3103"/>
      <c r="AB151" s="3104"/>
      <c r="AC151" s="3104"/>
      <c r="AD151" s="3104"/>
      <c r="AE151" s="3104"/>
      <c r="AF151" s="3105"/>
      <c r="AG151" s="307"/>
    </row>
    <row r="152" spans="1:33" s="262" customFormat="1">
      <c r="A152" s="608">
        <v>20</v>
      </c>
      <c r="B152" s="1632" t="s">
        <v>970</v>
      </c>
      <c r="C152" s="1633">
        <v>0.04</v>
      </c>
      <c r="D152" s="1636" t="s">
        <v>606</v>
      </c>
      <c r="E152" s="3041"/>
      <c r="F152" s="795">
        <v>0</v>
      </c>
      <c r="G152" s="795">
        <v>0</v>
      </c>
      <c r="H152" s="795">
        <v>0</v>
      </c>
      <c r="I152" s="795">
        <v>0</v>
      </c>
      <c r="J152" s="795">
        <v>0</v>
      </c>
      <c r="K152" s="2420">
        <v>0</v>
      </c>
      <c r="L152" s="3041"/>
      <c r="M152" s="795">
        <v>0</v>
      </c>
      <c r="N152" s="795">
        <v>0</v>
      </c>
      <c r="O152" s="795">
        <v>0</v>
      </c>
      <c r="P152" s="795">
        <v>0</v>
      </c>
      <c r="Q152" s="795">
        <v>0</v>
      </c>
      <c r="R152" s="795">
        <v>0</v>
      </c>
      <c r="S152" s="3041"/>
      <c r="T152" s="795">
        <v>0</v>
      </c>
      <c r="U152" s="795">
        <v>0</v>
      </c>
      <c r="V152" s="795">
        <v>0</v>
      </c>
      <c r="W152" s="795">
        <v>0</v>
      </c>
      <c r="X152" s="795">
        <v>0</v>
      </c>
      <c r="Y152" s="795">
        <v>0</v>
      </c>
      <c r="Z152" s="3041"/>
      <c r="AA152" s="3103"/>
      <c r="AB152" s="3104"/>
      <c r="AC152" s="3104"/>
      <c r="AD152" s="3104"/>
      <c r="AE152" s="3104"/>
      <c r="AF152" s="3105"/>
      <c r="AG152" s="307"/>
    </row>
    <row r="153" spans="1:33" s="262" customFormat="1" ht="24.75" thickBot="1">
      <c r="A153" s="608">
        <v>21</v>
      </c>
      <c r="B153" s="1632" t="s">
        <v>960</v>
      </c>
      <c r="C153" s="1845">
        <v>0.2</v>
      </c>
      <c r="D153" s="1626" t="s">
        <v>911</v>
      </c>
      <c r="E153" s="3041"/>
      <c r="F153" s="795">
        <v>0</v>
      </c>
      <c r="G153" s="782">
        <v>0</v>
      </c>
      <c r="H153" s="782">
        <v>5</v>
      </c>
      <c r="I153" s="782">
        <v>10</v>
      </c>
      <c r="J153" s="782">
        <v>0</v>
      </c>
      <c r="K153" s="2420">
        <v>0</v>
      </c>
      <c r="L153" s="3041"/>
      <c r="M153" s="795">
        <v>0</v>
      </c>
      <c r="N153" s="795">
        <v>0</v>
      </c>
      <c r="O153" s="795">
        <v>0</v>
      </c>
      <c r="P153" s="795">
        <v>0</v>
      </c>
      <c r="Q153" s="795">
        <v>0</v>
      </c>
      <c r="R153" s="795">
        <v>0</v>
      </c>
      <c r="S153" s="3041"/>
      <c r="T153" s="795">
        <v>0</v>
      </c>
      <c r="U153" s="782">
        <v>0</v>
      </c>
      <c r="V153" s="782">
        <v>5</v>
      </c>
      <c r="W153" s="782">
        <v>0</v>
      </c>
      <c r="X153" s="782">
        <v>0</v>
      </c>
      <c r="Y153" s="791">
        <v>0</v>
      </c>
      <c r="Z153" s="3044"/>
      <c r="AA153" s="3106"/>
      <c r="AB153" s="3107"/>
      <c r="AC153" s="3107"/>
      <c r="AD153" s="3107"/>
      <c r="AE153" s="3107"/>
      <c r="AF153" s="3108"/>
      <c r="AG153" s="307"/>
    </row>
    <row r="154" spans="1:33" s="262" customFormat="1" ht="21.75" customHeight="1" thickBot="1">
      <c r="A154" s="3027">
        <v>2</v>
      </c>
      <c r="B154" s="3028"/>
      <c r="C154" s="3028"/>
      <c r="D154" s="3025" t="s">
        <v>281</v>
      </c>
      <c r="E154" s="654">
        <f>SUM(E155:E175)</f>
        <v>0</v>
      </c>
      <c r="F154" s="655">
        <f>SUM(F155:F175)</f>
        <v>0</v>
      </c>
      <c r="G154" s="656">
        <f t="shared" ref="G154:AF154" si="136">SUM(G155:G175)</f>
        <v>0</v>
      </c>
      <c r="H154" s="656">
        <f t="shared" si="136"/>
        <v>-1</v>
      </c>
      <c r="I154" s="656">
        <f t="shared" si="136"/>
        <v>-3</v>
      </c>
      <c r="J154" s="656">
        <f t="shared" si="136"/>
        <v>-3</v>
      </c>
      <c r="K154" s="657">
        <f t="shared" si="136"/>
        <v>-17</v>
      </c>
      <c r="L154" s="341">
        <f t="shared" si="136"/>
        <v>0</v>
      </c>
      <c r="M154" s="655">
        <f t="shared" si="136"/>
        <v>0</v>
      </c>
      <c r="N154" s="656">
        <f t="shared" si="136"/>
        <v>0</v>
      </c>
      <c r="O154" s="656">
        <f t="shared" si="136"/>
        <v>0</v>
      </c>
      <c r="P154" s="656">
        <f t="shared" si="136"/>
        <v>0</v>
      </c>
      <c r="Q154" s="656">
        <f t="shared" si="136"/>
        <v>0</v>
      </c>
      <c r="R154" s="658">
        <f t="shared" si="136"/>
        <v>0</v>
      </c>
      <c r="S154" s="654">
        <f t="shared" si="136"/>
        <v>0</v>
      </c>
      <c r="T154" s="655">
        <f t="shared" si="136"/>
        <v>0</v>
      </c>
      <c r="U154" s="656">
        <f t="shared" si="136"/>
        <v>0</v>
      </c>
      <c r="V154" s="656">
        <f t="shared" si="136"/>
        <v>-1</v>
      </c>
      <c r="W154" s="656">
        <f t="shared" si="136"/>
        <v>-1</v>
      </c>
      <c r="X154" s="656">
        <f t="shared" si="136"/>
        <v>-1</v>
      </c>
      <c r="Y154" s="658">
        <f t="shared" si="136"/>
        <v>-1</v>
      </c>
      <c r="Z154" s="3109">
        <f t="shared" si="136"/>
        <v>0</v>
      </c>
      <c r="AA154" s="3110">
        <f t="shared" si="136"/>
        <v>0</v>
      </c>
      <c r="AB154" s="3111">
        <f t="shared" si="136"/>
        <v>0</v>
      </c>
      <c r="AC154" s="3111">
        <f t="shared" si="136"/>
        <v>0</v>
      </c>
      <c r="AD154" s="3111">
        <f t="shared" si="136"/>
        <v>0</v>
      </c>
      <c r="AE154" s="3111">
        <f t="shared" si="136"/>
        <v>0</v>
      </c>
      <c r="AF154" s="3112">
        <f t="shared" si="136"/>
        <v>0</v>
      </c>
      <c r="AG154" s="307"/>
    </row>
    <row r="155" spans="1:33" s="262" customFormat="1">
      <c r="A155" s="278">
        <v>1</v>
      </c>
      <c r="B155" s="1630" t="s">
        <v>949</v>
      </c>
      <c r="C155" s="1634">
        <v>0</v>
      </c>
      <c r="D155" s="1638" t="s">
        <v>760</v>
      </c>
      <c r="E155" s="3041"/>
      <c r="F155" s="645">
        <f>(E111*$C111)+(F111*$C111)-(F133*$C111)</f>
        <v>0</v>
      </c>
      <c r="G155" s="646">
        <f>F155+(G111*$C111)-(G133*$C111)</f>
        <v>0</v>
      </c>
      <c r="H155" s="646">
        <f t="shared" ref="H155:K155" si="137">G155+(H111*$C111)-(H133*$C111)</f>
        <v>0</v>
      </c>
      <c r="I155" s="646">
        <f t="shared" si="137"/>
        <v>0</v>
      </c>
      <c r="J155" s="646">
        <f t="shared" si="137"/>
        <v>0</v>
      </c>
      <c r="K155" s="647">
        <f t="shared" si="137"/>
        <v>0</v>
      </c>
      <c r="L155" s="3041"/>
      <c r="M155" s="645">
        <f>(L111*$C111)+(M111*$C111)-(M133*$C111)</f>
        <v>0</v>
      </c>
      <c r="N155" s="646">
        <f>M155+(N111*$C111)-(N133*$C111)</f>
        <v>0</v>
      </c>
      <c r="O155" s="646">
        <f t="shared" ref="O155:R155" si="138">N155+(O111*$C111)-(O133*$C111)</f>
        <v>0</v>
      </c>
      <c r="P155" s="646">
        <f t="shared" si="138"/>
        <v>0</v>
      </c>
      <c r="Q155" s="646">
        <f t="shared" si="138"/>
        <v>0</v>
      </c>
      <c r="R155" s="647">
        <f t="shared" si="138"/>
        <v>0</v>
      </c>
      <c r="S155" s="3041"/>
      <c r="T155" s="645">
        <f>(S111*$C111)+(T111*$C111)-(T133*$C111)</f>
        <v>0</v>
      </c>
      <c r="U155" s="646">
        <f>T155+(U111*$C111)-(U133*$C111)</f>
        <v>0</v>
      </c>
      <c r="V155" s="646">
        <f t="shared" ref="V155:Y155" si="139">U155+(V111*$C111)-(V133*$C111)</f>
        <v>0</v>
      </c>
      <c r="W155" s="646">
        <f t="shared" si="139"/>
        <v>0</v>
      </c>
      <c r="X155" s="646">
        <f t="shared" si="139"/>
        <v>0</v>
      </c>
      <c r="Y155" s="647">
        <f t="shared" si="139"/>
        <v>0</v>
      </c>
      <c r="Z155" s="3099"/>
      <c r="AA155" s="3100"/>
      <c r="AB155" s="3101"/>
      <c r="AC155" s="3101"/>
      <c r="AD155" s="3101"/>
      <c r="AE155" s="3101"/>
      <c r="AF155" s="3102"/>
      <c r="AG155" s="307"/>
    </row>
    <row r="156" spans="1:33" s="262" customFormat="1">
      <c r="A156" s="278">
        <v>2</v>
      </c>
      <c r="B156" s="1632" t="s">
        <v>950</v>
      </c>
      <c r="C156" s="1634">
        <v>0.03</v>
      </c>
      <c r="D156" s="1636" t="s">
        <v>598</v>
      </c>
      <c r="E156" s="3041"/>
      <c r="F156" s="586">
        <f t="shared" ref="F156:F175" si="140">(E112*$C112)+(F112*$C112)-(F134*$C112)</f>
        <v>0</v>
      </c>
      <c r="G156" s="587">
        <f t="shared" ref="G156:K156" si="141">F156+(G112*$C112)-(G134*$C112)</f>
        <v>0</v>
      </c>
      <c r="H156" s="587">
        <f t="shared" si="141"/>
        <v>0</v>
      </c>
      <c r="I156" s="587">
        <f t="shared" si="141"/>
        <v>0</v>
      </c>
      <c r="J156" s="587">
        <f t="shared" si="141"/>
        <v>0</v>
      </c>
      <c r="K156" s="588">
        <f t="shared" si="141"/>
        <v>0</v>
      </c>
      <c r="L156" s="3041"/>
      <c r="M156" s="586">
        <f t="shared" ref="M156:M175" si="142">(L112*$C112)+(M112*$C112)-(M134*$C112)</f>
        <v>0</v>
      </c>
      <c r="N156" s="587">
        <f t="shared" ref="N156:R156" si="143">M156+(N112*$C112)-(N134*$C112)</f>
        <v>0</v>
      </c>
      <c r="O156" s="587">
        <f t="shared" si="143"/>
        <v>0</v>
      </c>
      <c r="P156" s="587">
        <f t="shared" si="143"/>
        <v>0</v>
      </c>
      <c r="Q156" s="587">
        <f t="shared" si="143"/>
        <v>0</v>
      </c>
      <c r="R156" s="588">
        <f t="shared" si="143"/>
        <v>0</v>
      </c>
      <c r="S156" s="3041"/>
      <c r="T156" s="586">
        <f t="shared" ref="T156:T175" si="144">(S112*$C112)+(T112*$C112)-(T134*$C112)</f>
        <v>0</v>
      </c>
      <c r="U156" s="587">
        <f t="shared" ref="U156:Y156" si="145">T156+(U112*$C112)-(U134*$C112)</f>
        <v>0</v>
      </c>
      <c r="V156" s="587">
        <f t="shared" si="145"/>
        <v>0</v>
      </c>
      <c r="W156" s="587">
        <f t="shared" si="145"/>
        <v>0</v>
      </c>
      <c r="X156" s="587">
        <f t="shared" si="145"/>
        <v>0</v>
      </c>
      <c r="Y156" s="588">
        <f t="shared" si="145"/>
        <v>0</v>
      </c>
      <c r="Z156" s="3041"/>
      <c r="AA156" s="3103"/>
      <c r="AB156" s="3104"/>
      <c r="AC156" s="3104"/>
      <c r="AD156" s="3104"/>
      <c r="AE156" s="3104"/>
      <c r="AF156" s="3105"/>
      <c r="AG156" s="307"/>
    </row>
    <row r="157" spans="1:33" s="262" customFormat="1">
      <c r="A157" s="278">
        <v>3</v>
      </c>
      <c r="B157" s="1632">
        <v>911301</v>
      </c>
      <c r="C157" s="1633">
        <v>0.1</v>
      </c>
      <c r="D157" s="1636" t="s">
        <v>599</v>
      </c>
      <c r="E157" s="3041"/>
      <c r="F157" s="586">
        <f t="shared" si="140"/>
        <v>0</v>
      </c>
      <c r="G157" s="587">
        <f t="shared" ref="G157:K157" si="146">F157+(G113*$C113)-(G135*$C113)</f>
        <v>0</v>
      </c>
      <c r="H157" s="587">
        <f t="shared" si="146"/>
        <v>0</v>
      </c>
      <c r="I157" s="587">
        <f t="shared" si="146"/>
        <v>0</v>
      </c>
      <c r="J157" s="587">
        <f t="shared" si="146"/>
        <v>0</v>
      </c>
      <c r="K157" s="588">
        <f t="shared" si="146"/>
        <v>0</v>
      </c>
      <c r="L157" s="3041"/>
      <c r="M157" s="586">
        <f t="shared" si="142"/>
        <v>0</v>
      </c>
      <c r="N157" s="587">
        <f t="shared" ref="N157:R157" si="147">M157+(N113*$C113)-(N135*$C113)</f>
        <v>0</v>
      </c>
      <c r="O157" s="587">
        <f t="shared" si="147"/>
        <v>0</v>
      </c>
      <c r="P157" s="587">
        <f t="shared" si="147"/>
        <v>0</v>
      </c>
      <c r="Q157" s="587">
        <f t="shared" si="147"/>
        <v>0</v>
      </c>
      <c r="R157" s="588">
        <f t="shared" si="147"/>
        <v>0</v>
      </c>
      <c r="S157" s="3041"/>
      <c r="T157" s="586">
        <f t="shared" si="144"/>
        <v>0</v>
      </c>
      <c r="U157" s="587">
        <f t="shared" ref="U157:Y157" si="148">T157+(U113*$C113)-(U135*$C113)</f>
        <v>0</v>
      </c>
      <c r="V157" s="587">
        <f t="shared" si="148"/>
        <v>0</v>
      </c>
      <c r="W157" s="587">
        <f t="shared" si="148"/>
        <v>0</v>
      </c>
      <c r="X157" s="587">
        <f t="shared" si="148"/>
        <v>0</v>
      </c>
      <c r="Y157" s="588">
        <f t="shared" si="148"/>
        <v>0</v>
      </c>
      <c r="Z157" s="3041"/>
      <c r="AA157" s="3103"/>
      <c r="AB157" s="3104"/>
      <c r="AC157" s="3104"/>
      <c r="AD157" s="3104"/>
      <c r="AE157" s="3104"/>
      <c r="AF157" s="3105"/>
      <c r="AG157" s="307"/>
    </row>
    <row r="158" spans="1:33" s="262" customFormat="1">
      <c r="A158" s="278">
        <v>4</v>
      </c>
      <c r="B158" s="1632">
        <v>911302</v>
      </c>
      <c r="C158" s="1633">
        <v>0.1</v>
      </c>
      <c r="D158" s="1636" t="s">
        <v>600</v>
      </c>
      <c r="E158" s="3041"/>
      <c r="F158" s="586">
        <f t="shared" si="140"/>
        <v>0</v>
      </c>
      <c r="G158" s="587">
        <f t="shared" ref="G158:K158" si="149">F158+(G114*$C114)-(G136*$C114)</f>
        <v>0</v>
      </c>
      <c r="H158" s="587">
        <f t="shared" si="149"/>
        <v>0</v>
      </c>
      <c r="I158" s="587">
        <f t="shared" si="149"/>
        <v>0</v>
      </c>
      <c r="J158" s="587">
        <f t="shared" si="149"/>
        <v>0</v>
      </c>
      <c r="K158" s="588">
        <f t="shared" si="149"/>
        <v>-1</v>
      </c>
      <c r="L158" s="3041"/>
      <c r="M158" s="586">
        <f t="shared" si="142"/>
        <v>0</v>
      </c>
      <c r="N158" s="587">
        <f t="shared" ref="N158:R158" si="150">M158+(N114*$C114)-(N136*$C114)</f>
        <v>0</v>
      </c>
      <c r="O158" s="587">
        <f t="shared" si="150"/>
        <v>0</v>
      </c>
      <c r="P158" s="587">
        <f t="shared" si="150"/>
        <v>0</v>
      </c>
      <c r="Q158" s="587">
        <f t="shared" si="150"/>
        <v>0</v>
      </c>
      <c r="R158" s="588">
        <f t="shared" si="150"/>
        <v>0</v>
      </c>
      <c r="S158" s="3041"/>
      <c r="T158" s="586">
        <f t="shared" si="144"/>
        <v>0</v>
      </c>
      <c r="U158" s="587">
        <f t="shared" ref="U158:Y158" si="151">T158+(U114*$C114)-(U136*$C114)</f>
        <v>0</v>
      </c>
      <c r="V158" s="587">
        <f t="shared" si="151"/>
        <v>0</v>
      </c>
      <c r="W158" s="587">
        <f t="shared" si="151"/>
        <v>0</v>
      </c>
      <c r="X158" s="587">
        <f t="shared" si="151"/>
        <v>0</v>
      </c>
      <c r="Y158" s="588">
        <f t="shared" si="151"/>
        <v>0</v>
      </c>
      <c r="Z158" s="3041"/>
      <c r="AA158" s="3103"/>
      <c r="AB158" s="3104"/>
      <c r="AC158" s="3104"/>
      <c r="AD158" s="3104"/>
      <c r="AE158" s="3104"/>
      <c r="AF158" s="3105"/>
      <c r="AG158" s="307"/>
    </row>
    <row r="159" spans="1:33" s="262" customFormat="1">
      <c r="A159" s="278">
        <v>5</v>
      </c>
      <c r="B159" s="1632" t="s">
        <v>967</v>
      </c>
      <c r="C159" s="1633">
        <v>0.1</v>
      </c>
      <c r="D159" s="1626" t="s">
        <v>579</v>
      </c>
      <c r="E159" s="3041"/>
      <c r="F159" s="586">
        <f t="shared" si="140"/>
        <v>0</v>
      </c>
      <c r="G159" s="587">
        <f t="shared" ref="G159:K159" si="152">F159+(G115*$C115)-(G137*$C115)</f>
        <v>0</v>
      </c>
      <c r="H159" s="587">
        <f t="shared" si="152"/>
        <v>0</v>
      </c>
      <c r="I159" s="587">
        <f t="shared" si="152"/>
        <v>0</v>
      </c>
      <c r="J159" s="587">
        <f t="shared" si="152"/>
        <v>0</v>
      </c>
      <c r="K159" s="588">
        <f t="shared" si="152"/>
        <v>-12</v>
      </c>
      <c r="L159" s="3041"/>
      <c r="M159" s="586">
        <f t="shared" si="142"/>
        <v>0</v>
      </c>
      <c r="N159" s="587">
        <f t="shared" ref="N159:R159" si="153">M159+(N115*$C115)-(N137*$C115)</f>
        <v>0</v>
      </c>
      <c r="O159" s="587">
        <f t="shared" si="153"/>
        <v>0</v>
      </c>
      <c r="P159" s="587">
        <f t="shared" si="153"/>
        <v>0</v>
      </c>
      <c r="Q159" s="587">
        <f t="shared" si="153"/>
        <v>0</v>
      </c>
      <c r="R159" s="588">
        <f t="shared" si="153"/>
        <v>0</v>
      </c>
      <c r="S159" s="3041"/>
      <c r="T159" s="586">
        <f t="shared" si="144"/>
        <v>0</v>
      </c>
      <c r="U159" s="587">
        <f t="shared" ref="U159:Y159" si="154">T159+(U115*$C115)-(U137*$C115)</f>
        <v>0</v>
      </c>
      <c r="V159" s="587">
        <f t="shared" si="154"/>
        <v>0</v>
      </c>
      <c r="W159" s="587">
        <f t="shared" si="154"/>
        <v>0</v>
      </c>
      <c r="X159" s="587">
        <f t="shared" si="154"/>
        <v>0</v>
      </c>
      <c r="Y159" s="588">
        <f t="shared" si="154"/>
        <v>0</v>
      </c>
      <c r="Z159" s="3041"/>
      <c r="AA159" s="3103"/>
      <c r="AB159" s="3104"/>
      <c r="AC159" s="3104"/>
      <c r="AD159" s="3104"/>
      <c r="AE159" s="3104"/>
      <c r="AF159" s="3105"/>
      <c r="AG159" s="307"/>
    </row>
    <row r="160" spans="1:33" s="262" customFormat="1">
      <c r="A160" s="278">
        <v>6</v>
      </c>
      <c r="B160" s="1632" t="s">
        <v>968</v>
      </c>
      <c r="C160" s="1633">
        <v>0.1</v>
      </c>
      <c r="D160" s="1626" t="s">
        <v>580</v>
      </c>
      <c r="E160" s="3041"/>
      <c r="F160" s="586">
        <f t="shared" si="140"/>
        <v>0</v>
      </c>
      <c r="G160" s="587">
        <f t="shared" ref="G160:K160" si="155">F160+(G116*$C116)-(G138*$C116)</f>
        <v>0</v>
      </c>
      <c r="H160" s="587">
        <f t="shared" si="155"/>
        <v>0</v>
      </c>
      <c r="I160" s="587">
        <f t="shared" si="155"/>
        <v>0</v>
      </c>
      <c r="J160" s="587">
        <f t="shared" si="155"/>
        <v>0</v>
      </c>
      <c r="K160" s="588">
        <f t="shared" si="155"/>
        <v>0</v>
      </c>
      <c r="L160" s="3041"/>
      <c r="M160" s="586">
        <f>(L116*$C116)+(M116*$C116)-(M138*$C116)</f>
        <v>0</v>
      </c>
      <c r="N160" s="587">
        <f>M160+(N116*$C116)-(N138*$C116)</f>
        <v>0</v>
      </c>
      <c r="O160" s="587">
        <f>N160+(O116*$C116)-(O138*$C116)</f>
        <v>0</v>
      </c>
      <c r="P160" s="587">
        <f>O160+(P116*$C116)-(P138*$C116)</f>
        <v>0</v>
      </c>
      <c r="Q160" s="587">
        <f>P160+(Q116*$C116)-(Q138*$C116)</f>
        <v>0</v>
      </c>
      <c r="R160" s="588">
        <f>Q160+(R116*$C116)-(R138*$C116)</f>
        <v>0</v>
      </c>
      <c r="S160" s="3041"/>
      <c r="T160" s="586">
        <f t="shared" si="144"/>
        <v>0</v>
      </c>
      <c r="U160" s="587">
        <f t="shared" ref="U160:Y160" si="156">T160+(U116*$C116)-(U138*$C116)</f>
        <v>0</v>
      </c>
      <c r="V160" s="587">
        <f t="shared" si="156"/>
        <v>0</v>
      </c>
      <c r="W160" s="587">
        <f t="shared" si="156"/>
        <v>0</v>
      </c>
      <c r="X160" s="587">
        <f t="shared" si="156"/>
        <v>0</v>
      </c>
      <c r="Y160" s="588">
        <f t="shared" si="156"/>
        <v>0</v>
      </c>
      <c r="Z160" s="3041"/>
      <c r="AA160" s="3103"/>
      <c r="AB160" s="3104"/>
      <c r="AC160" s="3104"/>
      <c r="AD160" s="3104"/>
      <c r="AE160" s="3104"/>
      <c r="AF160" s="3105"/>
      <c r="AG160" s="307"/>
    </row>
    <row r="161" spans="1:33" s="262" customFormat="1" ht="21.75" customHeight="1">
      <c r="A161" s="278">
        <v>7</v>
      </c>
      <c r="B161" s="1632" t="s">
        <v>959</v>
      </c>
      <c r="C161" s="1633">
        <v>0.1</v>
      </c>
      <c r="D161" s="1626" t="s">
        <v>948</v>
      </c>
      <c r="E161" s="3041"/>
      <c r="F161" s="586">
        <f t="shared" si="140"/>
        <v>0</v>
      </c>
      <c r="G161" s="587">
        <f t="shared" ref="G161:K161" si="157">F161+(G117*$C117)-(G139*$C117)</f>
        <v>0</v>
      </c>
      <c r="H161" s="587">
        <f t="shared" si="157"/>
        <v>0</v>
      </c>
      <c r="I161" s="587">
        <f t="shared" si="157"/>
        <v>0</v>
      </c>
      <c r="J161" s="587">
        <f t="shared" si="157"/>
        <v>0</v>
      </c>
      <c r="K161" s="588">
        <f t="shared" si="157"/>
        <v>0</v>
      </c>
      <c r="L161" s="3041"/>
      <c r="M161" s="586">
        <f t="shared" si="142"/>
        <v>0</v>
      </c>
      <c r="N161" s="587">
        <f t="shared" ref="N161:R161" si="158">M161+(N117*$C117)-(N139*$C117)</f>
        <v>0</v>
      </c>
      <c r="O161" s="587">
        <f t="shared" si="158"/>
        <v>0</v>
      </c>
      <c r="P161" s="587">
        <f t="shared" si="158"/>
        <v>0</v>
      </c>
      <c r="Q161" s="587">
        <f t="shared" si="158"/>
        <v>0</v>
      </c>
      <c r="R161" s="588">
        <f t="shared" si="158"/>
        <v>0</v>
      </c>
      <c r="S161" s="3041"/>
      <c r="T161" s="586">
        <f t="shared" si="144"/>
        <v>0</v>
      </c>
      <c r="U161" s="587">
        <f t="shared" ref="U161:Y161" si="159">T161+(U117*$C117)-(U139*$C117)</f>
        <v>0</v>
      </c>
      <c r="V161" s="587">
        <f t="shared" si="159"/>
        <v>0</v>
      </c>
      <c r="W161" s="587">
        <f t="shared" si="159"/>
        <v>0</v>
      </c>
      <c r="X161" s="587">
        <f t="shared" si="159"/>
        <v>0</v>
      </c>
      <c r="Y161" s="588">
        <f t="shared" si="159"/>
        <v>0</v>
      </c>
      <c r="Z161" s="3041"/>
      <c r="AA161" s="3103"/>
      <c r="AB161" s="3104"/>
      <c r="AC161" s="3104"/>
      <c r="AD161" s="3104"/>
      <c r="AE161" s="3104"/>
      <c r="AF161" s="3105"/>
      <c r="AG161" s="307"/>
    </row>
    <row r="162" spans="1:33" s="262" customFormat="1">
      <c r="A162" s="278">
        <v>8</v>
      </c>
      <c r="B162" s="1632" t="s">
        <v>969</v>
      </c>
      <c r="C162" s="1633">
        <v>0.1</v>
      </c>
      <c r="D162" s="1626" t="s">
        <v>966</v>
      </c>
      <c r="E162" s="3041"/>
      <c r="F162" s="586">
        <f t="shared" si="140"/>
        <v>0</v>
      </c>
      <c r="G162" s="587">
        <f t="shared" ref="G162:K162" si="160">F162+(G118*$C118)-(G140*$C118)</f>
        <v>0</v>
      </c>
      <c r="H162" s="587">
        <f t="shared" si="160"/>
        <v>0</v>
      </c>
      <c r="I162" s="587">
        <f t="shared" si="160"/>
        <v>0</v>
      </c>
      <c r="J162" s="587">
        <f t="shared" si="160"/>
        <v>0</v>
      </c>
      <c r="K162" s="588">
        <f t="shared" si="160"/>
        <v>0</v>
      </c>
      <c r="L162" s="3041"/>
      <c r="M162" s="586">
        <f>(L118*$C118)+(M118*$C118)-(M140*$C118)</f>
        <v>0</v>
      </c>
      <c r="N162" s="587">
        <f>M162+(N118*$C118)-(N140*$C118)</f>
        <v>0</v>
      </c>
      <c r="O162" s="587">
        <f>N162+(O118*$C118)-(O140*$C118)</f>
        <v>0</v>
      </c>
      <c r="P162" s="587">
        <f>O162+(P118*$C118)-(P140*$C118)</f>
        <v>0</v>
      </c>
      <c r="Q162" s="587">
        <f>P162+(Q118*$C118)-(Q140*$C118)</f>
        <v>0</v>
      </c>
      <c r="R162" s="588">
        <f>Q162+(R118*$C118)-(R140*$C118)</f>
        <v>0</v>
      </c>
      <c r="S162" s="3041"/>
      <c r="T162" s="586">
        <f t="shared" si="144"/>
        <v>0</v>
      </c>
      <c r="U162" s="587">
        <f t="shared" ref="U162:Y162" si="161">T162+(U118*$C118)-(U140*$C118)</f>
        <v>0</v>
      </c>
      <c r="V162" s="587">
        <f t="shared" si="161"/>
        <v>0</v>
      </c>
      <c r="W162" s="587">
        <f t="shared" si="161"/>
        <v>0</v>
      </c>
      <c r="X162" s="587">
        <f t="shared" si="161"/>
        <v>0</v>
      </c>
      <c r="Y162" s="588">
        <f t="shared" si="161"/>
        <v>0</v>
      </c>
      <c r="Z162" s="3041"/>
      <c r="AA162" s="3103"/>
      <c r="AB162" s="3104"/>
      <c r="AC162" s="3104"/>
      <c r="AD162" s="3104"/>
      <c r="AE162" s="3104"/>
      <c r="AF162" s="3105"/>
      <c r="AG162" s="307"/>
    </row>
    <row r="163" spans="1:33" s="262" customFormat="1">
      <c r="A163" s="608">
        <v>9</v>
      </c>
      <c r="B163" s="1632">
        <v>911306</v>
      </c>
      <c r="C163" s="1633">
        <v>0.1</v>
      </c>
      <c r="D163" s="1636" t="s">
        <v>1471</v>
      </c>
      <c r="E163" s="3041"/>
      <c r="F163" s="586">
        <f t="shared" si="140"/>
        <v>0</v>
      </c>
      <c r="G163" s="587">
        <f t="shared" ref="G163:K163" si="162">F163+(G119*$C119)-(G141*$C119)</f>
        <v>0</v>
      </c>
      <c r="H163" s="587">
        <f t="shared" si="162"/>
        <v>0</v>
      </c>
      <c r="I163" s="587">
        <f t="shared" si="162"/>
        <v>0</v>
      </c>
      <c r="J163" s="587">
        <f t="shared" si="162"/>
        <v>0</v>
      </c>
      <c r="K163" s="588">
        <f t="shared" si="162"/>
        <v>-1</v>
      </c>
      <c r="L163" s="3041"/>
      <c r="M163" s="586">
        <f t="shared" si="142"/>
        <v>0</v>
      </c>
      <c r="N163" s="587">
        <f t="shared" ref="N163:R163" si="163">M163+(N119*$C119)-(N141*$C119)</f>
        <v>0</v>
      </c>
      <c r="O163" s="587">
        <f t="shared" si="163"/>
        <v>0</v>
      </c>
      <c r="P163" s="587">
        <f t="shared" si="163"/>
        <v>0</v>
      </c>
      <c r="Q163" s="587">
        <f t="shared" si="163"/>
        <v>0</v>
      </c>
      <c r="R163" s="588">
        <f t="shared" si="163"/>
        <v>0</v>
      </c>
      <c r="S163" s="3041"/>
      <c r="T163" s="586">
        <f t="shared" si="144"/>
        <v>0</v>
      </c>
      <c r="U163" s="587">
        <f t="shared" ref="U163:Y163" si="164">T163+(U119*$C119)-(U141*$C119)</f>
        <v>0</v>
      </c>
      <c r="V163" s="587">
        <f t="shared" si="164"/>
        <v>0</v>
      </c>
      <c r="W163" s="587">
        <f t="shared" si="164"/>
        <v>0</v>
      </c>
      <c r="X163" s="587">
        <f t="shared" si="164"/>
        <v>0</v>
      </c>
      <c r="Y163" s="588">
        <f t="shared" si="164"/>
        <v>0</v>
      </c>
      <c r="Z163" s="3041"/>
      <c r="AA163" s="3103"/>
      <c r="AB163" s="3104"/>
      <c r="AC163" s="3104"/>
      <c r="AD163" s="3104"/>
      <c r="AE163" s="3104"/>
      <c r="AF163" s="3105"/>
      <c r="AG163" s="307"/>
    </row>
    <row r="164" spans="1:33" s="262" customFormat="1">
      <c r="A164" s="608">
        <v>10</v>
      </c>
      <c r="B164" s="1632">
        <v>91140101</v>
      </c>
      <c r="C164" s="1637">
        <v>0.1</v>
      </c>
      <c r="D164" s="1638" t="s">
        <v>1442</v>
      </c>
      <c r="E164" s="3041"/>
      <c r="F164" s="586">
        <f t="shared" si="140"/>
        <v>0</v>
      </c>
      <c r="G164" s="587">
        <f t="shared" ref="G164:K164" si="165">F164+(G120*$C120)-(G142*$C120)</f>
        <v>0</v>
      </c>
      <c r="H164" s="587">
        <f t="shared" si="165"/>
        <v>0</v>
      </c>
      <c r="I164" s="587">
        <f t="shared" si="165"/>
        <v>0</v>
      </c>
      <c r="J164" s="587">
        <f t="shared" si="165"/>
        <v>0</v>
      </c>
      <c r="K164" s="588">
        <f t="shared" si="165"/>
        <v>0</v>
      </c>
      <c r="L164" s="3041"/>
      <c r="M164" s="586">
        <f t="shared" si="142"/>
        <v>0</v>
      </c>
      <c r="N164" s="587">
        <f t="shared" ref="N164:R164" si="166">M164+(N120*$C120)-(N142*$C120)</f>
        <v>0</v>
      </c>
      <c r="O164" s="587">
        <f t="shared" si="166"/>
        <v>0</v>
      </c>
      <c r="P164" s="587">
        <f t="shared" si="166"/>
        <v>0</v>
      </c>
      <c r="Q164" s="587">
        <f t="shared" si="166"/>
        <v>0</v>
      </c>
      <c r="R164" s="588">
        <f t="shared" si="166"/>
        <v>0</v>
      </c>
      <c r="S164" s="3041"/>
      <c r="T164" s="586">
        <f t="shared" si="144"/>
        <v>0</v>
      </c>
      <c r="U164" s="587">
        <f t="shared" ref="U164:Y164" si="167">T164+(U120*$C120)-(U142*$C120)</f>
        <v>0</v>
      </c>
      <c r="V164" s="587">
        <f t="shared" si="167"/>
        <v>0</v>
      </c>
      <c r="W164" s="587">
        <f t="shared" si="167"/>
        <v>0</v>
      </c>
      <c r="X164" s="587">
        <f t="shared" si="167"/>
        <v>0</v>
      </c>
      <c r="Y164" s="588">
        <f t="shared" si="167"/>
        <v>0</v>
      </c>
      <c r="Z164" s="3041"/>
      <c r="AA164" s="3103"/>
      <c r="AB164" s="3104"/>
      <c r="AC164" s="3104"/>
      <c r="AD164" s="3104"/>
      <c r="AE164" s="3104"/>
      <c r="AF164" s="3105"/>
      <c r="AG164" s="307"/>
    </row>
    <row r="165" spans="1:33" s="262" customFormat="1">
      <c r="A165" s="608">
        <v>11</v>
      </c>
      <c r="B165" s="1632">
        <v>91140102</v>
      </c>
      <c r="C165" s="1637">
        <v>0.04</v>
      </c>
      <c r="D165" s="1638" t="s">
        <v>604</v>
      </c>
      <c r="E165" s="3041"/>
      <c r="F165" s="586">
        <f t="shared" si="140"/>
        <v>0</v>
      </c>
      <c r="G165" s="587">
        <f t="shared" ref="G165:K165" si="168">F165+(G121*$C121)-(G143*$C121)</f>
        <v>0</v>
      </c>
      <c r="H165" s="587">
        <f t="shared" si="168"/>
        <v>0</v>
      </c>
      <c r="I165" s="587">
        <f t="shared" si="168"/>
        <v>0</v>
      </c>
      <c r="J165" s="587">
        <f t="shared" si="168"/>
        <v>0</v>
      </c>
      <c r="K165" s="588">
        <f t="shared" si="168"/>
        <v>0</v>
      </c>
      <c r="L165" s="3041"/>
      <c r="M165" s="586">
        <f t="shared" si="142"/>
        <v>0</v>
      </c>
      <c r="N165" s="587">
        <f t="shared" ref="N165:R165" si="169">M165+(N121*$C121)-(N143*$C121)</f>
        <v>0</v>
      </c>
      <c r="O165" s="587">
        <f t="shared" si="169"/>
        <v>0</v>
      </c>
      <c r="P165" s="587">
        <f t="shared" si="169"/>
        <v>0</v>
      </c>
      <c r="Q165" s="587">
        <f t="shared" si="169"/>
        <v>0</v>
      </c>
      <c r="R165" s="588">
        <f t="shared" si="169"/>
        <v>0</v>
      </c>
      <c r="S165" s="3041"/>
      <c r="T165" s="586">
        <f t="shared" si="144"/>
        <v>0</v>
      </c>
      <c r="U165" s="587">
        <f t="shared" ref="U165:Y165" si="170">T165+(U121*$C121)-(U143*$C121)</f>
        <v>0</v>
      </c>
      <c r="V165" s="587">
        <f t="shared" si="170"/>
        <v>0</v>
      </c>
      <c r="W165" s="587">
        <f t="shared" si="170"/>
        <v>0</v>
      </c>
      <c r="X165" s="587">
        <f t="shared" si="170"/>
        <v>0</v>
      </c>
      <c r="Y165" s="588">
        <f t="shared" si="170"/>
        <v>0</v>
      </c>
      <c r="Z165" s="3041"/>
      <c r="AA165" s="3103"/>
      <c r="AB165" s="3104"/>
      <c r="AC165" s="3104"/>
      <c r="AD165" s="3104"/>
      <c r="AE165" s="3104"/>
      <c r="AF165" s="3105"/>
      <c r="AG165" s="307"/>
    </row>
    <row r="166" spans="1:33" s="262" customFormat="1">
      <c r="A166" s="608">
        <v>12</v>
      </c>
      <c r="B166" s="1632" t="s">
        <v>951</v>
      </c>
      <c r="C166" s="1633">
        <v>0.02</v>
      </c>
      <c r="D166" s="1624" t="s">
        <v>1007</v>
      </c>
      <c r="E166" s="3041"/>
      <c r="F166" s="586">
        <f t="shared" si="140"/>
        <v>0</v>
      </c>
      <c r="G166" s="587">
        <f t="shared" ref="G166:K166" si="171">F166+(G122*$C122)-(G144*$C122)</f>
        <v>0</v>
      </c>
      <c r="H166" s="587">
        <f t="shared" si="171"/>
        <v>0</v>
      </c>
      <c r="I166" s="587">
        <f t="shared" si="171"/>
        <v>0</v>
      </c>
      <c r="J166" s="587">
        <f t="shared" si="171"/>
        <v>0</v>
      </c>
      <c r="K166" s="588">
        <f t="shared" si="171"/>
        <v>0</v>
      </c>
      <c r="L166" s="3041"/>
      <c r="M166" s="586">
        <f t="shared" si="142"/>
        <v>0</v>
      </c>
      <c r="N166" s="587">
        <f t="shared" ref="N166:R166" si="172">M166+(N122*$C122)-(N144*$C122)</f>
        <v>0</v>
      </c>
      <c r="O166" s="587">
        <f t="shared" si="172"/>
        <v>0</v>
      </c>
      <c r="P166" s="587">
        <f t="shared" si="172"/>
        <v>0</v>
      </c>
      <c r="Q166" s="587">
        <f t="shared" si="172"/>
        <v>0</v>
      </c>
      <c r="R166" s="588">
        <f t="shared" si="172"/>
        <v>0</v>
      </c>
      <c r="S166" s="3041"/>
      <c r="T166" s="586">
        <f t="shared" si="144"/>
        <v>0</v>
      </c>
      <c r="U166" s="587">
        <f t="shared" ref="U166:Y166" si="173">T166+(U122*$C122)-(U144*$C122)</f>
        <v>0</v>
      </c>
      <c r="V166" s="587">
        <f t="shared" si="173"/>
        <v>0</v>
      </c>
      <c r="W166" s="587">
        <f t="shared" si="173"/>
        <v>0</v>
      </c>
      <c r="X166" s="587">
        <f t="shared" si="173"/>
        <v>0</v>
      </c>
      <c r="Y166" s="588">
        <f t="shared" si="173"/>
        <v>0</v>
      </c>
      <c r="Z166" s="3041"/>
      <c r="AA166" s="3103"/>
      <c r="AB166" s="3104"/>
      <c r="AC166" s="3104"/>
      <c r="AD166" s="3104"/>
      <c r="AE166" s="3104"/>
      <c r="AF166" s="3105"/>
      <c r="AG166" s="307"/>
    </row>
    <row r="167" spans="1:33" s="262" customFormat="1">
      <c r="A167" s="608">
        <v>13</v>
      </c>
      <c r="B167" s="1632" t="s">
        <v>952</v>
      </c>
      <c r="C167" s="1633">
        <v>0.02</v>
      </c>
      <c r="D167" s="1624" t="s">
        <v>1008</v>
      </c>
      <c r="E167" s="3041"/>
      <c r="F167" s="586">
        <f t="shared" si="140"/>
        <v>0</v>
      </c>
      <c r="G167" s="587">
        <f t="shared" ref="G167:K167" si="174">F167+(G123*$C123)-(G145*$C123)</f>
        <v>0</v>
      </c>
      <c r="H167" s="587">
        <f t="shared" si="174"/>
        <v>0</v>
      </c>
      <c r="I167" s="587">
        <f t="shared" si="174"/>
        <v>0</v>
      </c>
      <c r="J167" s="587">
        <f t="shared" si="174"/>
        <v>0</v>
      </c>
      <c r="K167" s="588">
        <f t="shared" si="174"/>
        <v>0</v>
      </c>
      <c r="L167" s="3041"/>
      <c r="M167" s="586">
        <f t="shared" si="142"/>
        <v>0</v>
      </c>
      <c r="N167" s="587">
        <f t="shared" ref="N167:R167" si="175">M167+(N123*$C123)-(N145*$C123)</f>
        <v>0</v>
      </c>
      <c r="O167" s="587">
        <f t="shared" si="175"/>
        <v>0</v>
      </c>
      <c r="P167" s="587">
        <f t="shared" si="175"/>
        <v>0</v>
      </c>
      <c r="Q167" s="587">
        <f t="shared" si="175"/>
        <v>0</v>
      </c>
      <c r="R167" s="588">
        <f t="shared" si="175"/>
        <v>0</v>
      </c>
      <c r="S167" s="3041"/>
      <c r="T167" s="586">
        <f t="shared" si="144"/>
        <v>0</v>
      </c>
      <c r="U167" s="587">
        <f t="shared" ref="U167:Y167" si="176">T167+(U123*$C123)-(U145*$C123)</f>
        <v>0</v>
      </c>
      <c r="V167" s="587">
        <f t="shared" si="176"/>
        <v>0</v>
      </c>
      <c r="W167" s="587">
        <f t="shared" si="176"/>
        <v>0</v>
      </c>
      <c r="X167" s="587">
        <f t="shared" si="176"/>
        <v>0</v>
      </c>
      <c r="Y167" s="588">
        <f t="shared" si="176"/>
        <v>0</v>
      </c>
      <c r="Z167" s="3041"/>
      <c r="AA167" s="3103"/>
      <c r="AB167" s="3104"/>
      <c r="AC167" s="3104"/>
      <c r="AD167" s="3104"/>
      <c r="AE167" s="3104"/>
      <c r="AF167" s="3105"/>
      <c r="AG167" s="307"/>
    </row>
    <row r="168" spans="1:33" s="262" customFormat="1">
      <c r="A168" s="608">
        <v>14</v>
      </c>
      <c r="B168" s="1632" t="s">
        <v>953</v>
      </c>
      <c r="C168" s="1633">
        <v>0.02</v>
      </c>
      <c r="D168" s="1624" t="s">
        <v>590</v>
      </c>
      <c r="E168" s="3041"/>
      <c r="F168" s="586">
        <f t="shared" si="140"/>
        <v>0</v>
      </c>
      <c r="G168" s="587">
        <f t="shared" ref="G168:K168" si="177">F168+(G124*$C124)-(G146*$C124)</f>
        <v>0</v>
      </c>
      <c r="H168" s="587">
        <f t="shared" si="177"/>
        <v>0</v>
      </c>
      <c r="I168" s="587">
        <f t="shared" si="177"/>
        <v>0</v>
      </c>
      <c r="J168" s="587">
        <f t="shared" si="177"/>
        <v>0</v>
      </c>
      <c r="K168" s="588">
        <f t="shared" si="177"/>
        <v>0</v>
      </c>
      <c r="L168" s="3041"/>
      <c r="M168" s="586">
        <f t="shared" si="142"/>
        <v>0</v>
      </c>
      <c r="N168" s="587">
        <f t="shared" ref="N168:R168" si="178">M168+(N124*$C124)-(N146*$C124)</f>
        <v>0</v>
      </c>
      <c r="O168" s="587">
        <f t="shared" si="178"/>
        <v>0</v>
      </c>
      <c r="P168" s="587">
        <f t="shared" si="178"/>
        <v>0</v>
      </c>
      <c r="Q168" s="587">
        <f t="shared" si="178"/>
        <v>0</v>
      </c>
      <c r="R168" s="588">
        <f t="shared" si="178"/>
        <v>0</v>
      </c>
      <c r="S168" s="3041"/>
      <c r="T168" s="586">
        <f t="shared" si="144"/>
        <v>0</v>
      </c>
      <c r="U168" s="587">
        <f t="shared" ref="U168:Y168" si="179">T168+(U124*$C124)-(U146*$C124)</f>
        <v>0</v>
      </c>
      <c r="V168" s="587">
        <f t="shared" si="179"/>
        <v>0</v>
      </c>
      <c r="W168" s="587">
        <f t="shared" si="179"/>
        <v>0</v>
      </c>
      <c r="X168" s="587">
        <f t="shared" si="179"/>
        <v>0</v>
      </c>
      <c r="Y168" s="588">
        <f t="shared" si="179"/>
        <v>0</v>
      </c>
      <c r="Z168" s="3041"/>
      <c r="AA168" s="3103"/>
      <c r="AB168" s="3104"/>
      <c r="AC168" s="3104"/>
      <c r="AD168" s="3104"/>
      <c r="AE168" s="3104"/>
      <c r="AF168" s="3105"/>
      <c r="AG168" s="307"/>
    </row>
    <row r="169" spans="1:33" s="262" customFormat="1">
      <c r="A169" s="608">
        <v>15</v>
      </c>
      <c r="B169" s="1632" t="s">
        <v>954</v>
      </c>
      <c r="C169" s="1633">
        <v>0.02</v>
      </c>
      <c r="D169" s="1638" t="s">
        <v>591</v>
      </c>
      <c r="E169" s="3041"/>
      <c r="F169" s="586">
        <f t="shared" si="140"/>
        <v>0</v>
      </c>
      <c r="G169" s="587">
        <f t="shared" ref="G169:K169" si="180">F169+(G125*$C125)-(G147*$C125)</f>
        <v>0</v>
      </c>
      <c r="H169" s="587">
        <f t="shared" si="180"/>
        <v>0</v>
      </c>
      <c r="I169" s="587">
        <f t="shared" si="180"/>
        <v>0</v>
      </c>
      <c r="J169" s="587">
        <f t="shared" si="180"/>
        <v>0</v>
      </c>
      <c r="K169" s="588">
        <f t="shared" si="180"/>
        <v>0</v>
      </c>
      <c r="L169" s="3041"/>
      <c r="M169" s="586">
        <f t="shared" si="142"/>
        <v>0</v>
      </c>
      <c r="N169" s="587">
        <f t="shared" ref="N169:R169" si="181">M169+(N125*$C125)-(N147*$C125)</f>
        <v>0</v>
      </c>
      <c r="O169" s="587">
        <f t="shared" si="181"/>
        <v>0</v>
      </c>
      <c r="P169" s="587">
        <f t="shared" si="181"/>
        <v>0</v>
      </c>
      <c r="Q169" s="587">
        <f t="shared" si="181"/>
        <v>0</v>
      </c>
      <c r="R169" s="588">
        <f t="shared" si="181"/>
        <v>0</v>
      </c>
      <c r="S169" s="3041"/>
      <c r="T169" s="586">
        <f t="shared" si="144"/>
        <v>0</v>
      </c>
      <c r="U169" s="587">
        <f t="shared" ref="U169:Y169" si="182">T169+(U125*$C125)-(U147*$C125)</f>
        <v>0</v>
      </c>
      <c r="V169" s="587">
        <f t="shared" si="182"/>
        <v>0</v>
      </c>
      <c r="W169" s="587">
        <f t="shared" si="182"/>
        <v>0</v>
      </c>
      <c r="X169" s="587">
        <f t="shared" si="182"/>
        <v>0</v>
      </c>
      <c r="Y169" s="588">
        <f t="shared" si="182"/>
        <v>0</v>
      </c>
      <c r="Z169" s="3041"/>
      <c r="AA169" s="3103"/>
      <c r="AB169" s="3104"/>
      <c r="AC169" s="3104"/>
      <c r="AD169" s="3104"/>
      <c r="AE169" s="3104"/>
      <c r="AF169" s="3105"/>
      <c r="AG169" s="307"/>
    </row>
    <row r="170" spans="1:33" s="262" customFormat="1">
      <c r="A170" s="608">
        <v>16</v>
      </c>
      <c r="B170" s="1632" t="s">
        <v>955</v>
      </c>
      <c r="C170" s="1633">
        <v>0.02</v>
      </c>
      <c r="D170" s="1624" t="s">
        <v>592</v>
      </c>
      <c r="E170" s="3041"/>
      <c r="F170" s="586">
        <f t="shared" si="140"/>
        <v>0</v>
      </c>
      <c r="G170" s="587">
        <f t="shared" ref="G170:K170" si="183">F170+(G126*$C126)-(G148*$C126)</f>
        <v>0</v>
      </c>
      <c r="H170" s="587">
        <f t="shared" si="183"/>
        <v>0</v>
      </c>
      <c r="I170" s="587">
        <f t="shared" si="183"/>
        <v>0</v>
      </c>
      <c r="J170" s="587">
        <f t="shared" si="183"/>
        <v>0</v>
      </c>
      <c r="K170" s="588">
        <f t="shared" si="183"/>
        <v>0</v>
      </c>
      <c r="L170" s="3041"/>
      <c r="M170" s="586">
        <f t="shared" si="142"/>
        <v>0</v>
      </c>
      <c r="N170" s="587">
        <f t="shared" ref="N170:R170" si="184">M170+(N126*$C126)-(N148*$C126)</f>
        <v>0</v>
      </c>
      <c r="O170" s="587">
        <f t="shared" si="184"/>
        <v>0</v>
      </c>
      <c r="P170" s="587">
        <f t="shared" si="184"/>
        <v>0</v>
      </c>
      <c r="Q170" s="587">
        <f t="shared" si="184"/>
        <v>0</v>
      </c>
      <c r="R170" s="588">
        <f t="shared" si="184"/>
        <v>0</v>
      </c>
      <c r="S170" s="3041"/>
      <c r="T170" s="586">
        <f t="shared" si="144"/>
        <v>0</v>
      </c>
      <c r="U170" s="587">
        <f t="shared" ref="U170:Y170" si="185">T170+(U126*$C126)-(U148*$C126)</f>
        <v>0</v>
      </c>
      <c r="V170" s="587">
        <f t="shared" si="185"/>
        <v>0</v>
      </c>
      <c r="W170" s="587">
        <f t="shared" si="185"/>
        <v>0</v>
      </c>
      <c r="X170" s="587">
        <f t="shared" si="185"/>
        <v>0</v>
      </c>
      <c r="Y170" s="588">
        <f t="shared" si="185"/>
        <v>0</v>
      </c>
      <c r="Z170" s="3041"/>
      <c r="AA170" s="3103"/>
      <c r="AB170" s="3104"/>
      <c r="AC170" s="3104"/>
      <c r="AD170" s="3104"/>
      <c r="AE170" s="3104"/>
      <c r="AF170" s="3105"/>
      <c r="AG170" s="307"/>
    </row>
    <row r="171" spans="1:33" s="262" customFormat="1">
      <c r="A171" s="608">
        <v>17</v>
      </c>
      <c r="B171" s="1632" t="s">
        <v>956</v>
      </c>
      <c r="C171" s="1633">
        <v>0.02</v>
      </c>
      <c r="D171" s="1626" t="s">
        <v>593</v>
      </c>
      <c r="E171" s="3041"/>
      <c r="F171" s="586">
        <f t="shared" si="140"/>
        <v>0</v>
      </c>
      <c r="G171" s="587">
        <f t="shared" ref="G171:K171" si="186">F171+(G127*$C127)-(G149*$C127)</f>
        <v>0</v>
      </c>
      <c r="H171" s="587">
        <f t="shared" si="186"/>
        <v>0</v>
      </c>
      <c r="I171" s="587">
        <f t="shared" si="186"/>
        <v>0</v>
      </c>
      <c r="J171" s="587">
        <f t="shared" si="186"/>
        <v>0</v>
      </c>
      <c r="K171" s="588">
        <f t="shared" si="186"/>
        <v>0</v>
      </c>
      <c r="L171" s="3041"/>
      <c r="M171" s="586">
        <f t="shared" si="142"/>
        <v>0</v>
      </c>
      <c r="N171" s="587">
        <f t="shared" ref="N171:R171" si="187">M171+(N127*$C127)-(N149*$C127)</f>
        <v>0</v>
      </c>
      <c r="O171" s="587">
        <f t="shared" si="187"/>
        <v>0</v>
      </c>
      <c r="P171" s="587">
        <f t="shared" si="187"/>
        <v>0</v>
      </c>
      <c r="Q171" s="587">
        <f t="shared" si="187"/>
        <v>0</v>
      </c>
      <c r="R171" s="588">
        <f t="shared" si="187"/>
        <v>0</v>
      </c>
      <c r="S171" s="3041"/>
      <c r="T171" s="586">
        <f t="shared" si="144"/>
        <v>0</v>
      </c>
      <c r="U171" s="587">
        <f t="shared" ref="U171:Y171" si="188">T171+(U127*$C127)-(U149*$C127)</f>
        <v>0</v>
      </c>
      <c r="V171" s="587">
        <f t="shared" si="188"/>
        <v>0</v>
      </c>
      <c r="W171" s="587">
        <f t="shared" si="188"/>
        <v>0</v>
      </c>
      <c r="X171" s="587">
        <f t="shared" si="188"/>
        <v>0</v>
      </c>
      <c r="Y171" s="588">
        <f t="shared" si="188"/>
        <v>0</v>
      </c>
      <c r="Z171" s="3041"/>
      <c r="AA171" s="3103"/>
      <c r="AB171" s="3104"/>
      <c r="AC171" s="3104"/>
      <c r="AD171" s="3104"/>
      <c r="AE171" s="3104"/>
      <c r="AF171" s="3105"/>
      <c r="AG171" s="307"/>
    </row>
    <row r="172" spans="1:33" s="262" customFormat="1" ht="24">
      <c r="A172" s="608">
        <v>18</v>
      </c>
      <c r="B172" s="1632" t="s">
        <v>957</v>
      </c>
      <c r="C172" s="1633">
        <v>0.04</v>
      </c>
      <c r="D172" s="1626" t="s">
        <v>594</v>
      </c>
      <c r="E172" s="3041"/>
      <c r="F172" s="586">
        <f t="shared" si="140"/>
        <v>0</v>
      </c>
      <c r="G172" s="587">
        <f t="shared" ref="G172:K172" si="189">F172+(G128*$C128)-(G150*$C128)</f>
        <v>0</v>
      </c>
      <c r="H172" s="587">
        <f t="shared" si="189"/>
        <v>0</v>
      </c>
      <c r="I172" s="587">
        <f t="shared" si="189"/>
        <v>0</v>
      </c>
      <c r="J172" s="587">
        <f t="shared" si="189"/>
        <v>0</v>
      </c>
      <c r="K172" s="588">
        <f t="shared" si="189"/>
        <v>0</v>
      </c>
      <c r="L172" s="3041"/>
      <c r="M172" s="586">
        <f t="shared" si="142"/>
        <v>0</v>
      </c>
      <c r="N172" s="587">
        <f t="shared" ref="N172:R172" si="190">M172+(N128*$C128)-(N150*$C128)</f>
        <v>0</v>
      </c>
      <c r="O172" s="587">
        <f t="shared" si="190"/>
        <v>0</v>
      </c>
      <c r="P172" s="587">
        <f t="shared" si="190"/>
        <v>0</v>
      </c>
      <c r="Q172" s="587">
        <f t="shared" si="190"/>
        <v>0</v>
      </c>
      <c r="R172" s="588">
        <f t="shared" si="190"/>
        <v>0</v>
      </c>
      <c r="S172" s="3041"/>
      <c r="T172" s="586">
        <f t="shared" si="144"/>
        <v>0</v>
      </c>
      <c r="U172" s="587">
        <f t="shared" ref="U172:Y172" si="191">T172+(U128*$C128)-(U150*$C128)</f>
        <v>0</v>
      </c>
      <c r="V172" s="587">
        <f t="shared" si="191"/>
        <v>0</v>
      </c>
      <c r="W172" s="587">
        <f t="shared" si="191"/>
        <v>0</v>
      </c>
      <c r="X172" s="587">
        <f t="shared" si="191"/>
        <v>0</v>
      </c>
      <c r="Y172" s="588">
        <f t="shared" si="191"/>
        <v>0</v>
      </c>
      <c r="Z172" s="3041"/>
      <c r="AA172" s="3103"/>
      <c r="AB172" s="3104"/>
      <c r="AC172" s="3104"/>
      <c r="AD172" s="3104"/>
      <c r="AE172" s="3104"/>
      <c r="AF172" s="3105"/>
      <c r="AG172" s="307"/>
    </row>
    <row r="173" spans="1:33" s="262" customFormat="1">
      <c r="A173" s="608">
        <v>19</v>
      </c>
      <c r="B173" s="1632" t="s">
        <v>958</v>
      </c>
      <c r="C173" s="1633">
        <v>0.04</v>
      </c>
      <c r="D173" s="1626" t="s">
        <v>595</v>
      </c>
      <c r="E173" s="3041"/>
      <c r="F173" s="586">
        <f t="shared" si="140"/>
        <v>0</v>
      </c>
      <c r="G173" s="587">
        <f t="shared" ref="G173:K173" si="192">F173+(G129*$C129)-(G151*$C129)</f>
        <v>0</v>
      </c>
      <c r="H173" s="587">
        <f t="shared" si="192"/>
        <v>0</v>
      </c>
      <c r="I173" s="587">
        <f t="shared" si="192"/>
        <v>0</v>
      </c>
      <c r="J173" s="587">
        <f t="shared" si="192"/>
        <v>0</v>
      </c>
      <c r="K173" s="588">
        <f t="shared" si="192"/>
        <v>0</v>
      </c>
      <c r="L173" s="3041"/>
      <c r="M173" s="586">
        <f t="shared" si="142"/>
        <v>0</v>
      </c>
      <c r="N173" s="587">
        <f t="shared" ref="N173:R173" si="193">M173+(N129*$C129)-(N151*$C129)</f>
        <v>0</v>
      </c>
      <c r="O173" s="587">
        <f t="shared" si="193"/>
        <v>0</v>
      </c>
      <c r="P173" s="587">
        <f t="shared" si="193"/>
        <v>0</v>
      </c>
      <c r="Q173" s="587">
        <f t="shared" si="193"/>
        <v>0</v>
      </c>
      <c r="R173" s="588">
        <f t="shared" si="193"/>
        <v>0</v>
      </c>
      <c r="S173" s="3041"/>
      <c r="T173" s="586">
        <f t="shared" si="144"/>
        <v>0</v>
      </c>
      <c r="U173" s="587">
        <f t="shared" ref="U173:Y173" si="194">T173+(U129*$C129)-(U151*$C129)</f>
        <v>0</v>
      </c>
      <c r="V173" s="587">
        <f t="shared" si="194"/>
        <v>0</v>
      </c>
      <c r="W173" s="587">
        <f t="shared" si="194"/>
        <v>0</v>
      </c>
      <c r="X173" s="587">
        <f t="shared" si="194"/>
        <v>0</v>
      </c>
      <c r="Y173" s="588">
        <f t="shared" si="194"/>
        <v>0</v>
      </c>
      <c r="Z173" s="3041"/>
      <c r="AA173" s="3103"/>
      <c r="AB173" s="3104"/>
      <c r="AC173" s="3104"/>
      <c r="AD173" s="3104"/>
      <c r="AE173" s="3104"/>
      <c r="AF173" s="3105"/>
      <c r="AG173" s="307"/>
    </row>
    <row r="174" spans="1:33" s="262" customFormat="1">
      <c r="A174" s="608">
        <v>20</v>
      </c>
      <c r="B174" s="1632" t="s">
        <v>970</v>
      </c>
      <c r="C174" s="1633">
        <v>0.04</v>
      </c>
      <c r="D174" s="1636" t="s">
        <v>606</v>
      </c>
      <c r="E174" s="3041"/>
      <c r="F174" s="586">
        <f t="shared" si="140"/>
        <v>0</v>
      </c>
      <c r="G174" s="587">
        <f t="shared" ref="G174:K174" si="195">F174+(G130*$C130)-(G152*$C130)</f>
        <v>0</v>
      </c>
      <c r="H174" s="587">
        <f t="shared" si="195"/>
        <v>0</v>
      </c>
      <c r="I174" s="587">
        <f t="shared" si="195"/>
        <v>0</v>
      </c>
      <c r="J174" s="587">
        <f t="shared" si="195"/>
        <v>0</v>
      </c>
      <c r="K174" s="588">
        <f t="shared" si="195"/>
        <v>0</v>
      </c>
      <c r="L174" s="3041"/>
      <c r="M174" s="586">
        <f t="shared" si="142"/>
        <v>0</v>
      </c>
      <c r="N174" s="587">
        <f t="shared" ref="N174:R174" si="196">M174+(N130*$C130)-(N152*$C130)</f>
        <v>0</v>
      </c>
      <c r="O174" s="587">
        <f t="shared" si="196"/>
        <v>0</v>
      </c>
      <c r="P174" s="587">
        <f t="shared" si="196"/>
        <v>0</v>
      </c>
      <c r="Q174" s="587">
        <f t="shared" si="196"/>
        <v>0</v>
      </c>
      <c r="R174" s="588">
        <f t="shared" si="196"/>
        <v>0</v>
      </c>
      <c r="S174" s="3041"/>
      <c r="T174" s="586">
        <f t="shared" si="144"/>
        <v>0</v>
      </c>
      <c r="U174" s="587">
        <f t="shared" ref="U174:Y174" si="197">T174+(U130*$C130)-(U152*$C130)</f>
        <v>0</v>
      </c>
      <c r="V174" s="587">
        <f t="shared" si="197"/>
        <v>0</v>
      </c>
      <c r="W174" s="587">
        <f t="shared" si="197"/>
        <v>0</v>
      </c>
      <c r="X174" s="587">
        <f t="shared" si="197"/>
        <v>0</v>
      </c>
      <c r="Y174" s="588">
        <f t="shared" si="197"/>
        <v>0</v>
      </c>
      <c r="Z174" s="3041"/>
      <c r="AA174" s="3103"/>
      <c r="AB174" s="3104"/>
      <c r="AC174" s="3104"/>
      <c r="AD174" s="3104"/>
      <c r="AE174" s="3104"/>
      <c r="AF174" s="3105"/>
      <c r="AG174" s="307"/>
    </row>
    <row r="175" spans="1:33" s="262" customFormat="1" ht="24.75" thickBot="1">
      <c r="A175" s="1514">
        <v>21</v>
      </c>
      <c r="B175" s="1847" t="s">
        <v>960</v>
      </c>
      <c r="C175" s="2421">
        <v>0.2</v>
      </c>
      <c r="D175" s="1848" t="s">
        <v>911</v>
      </c>
      <c r="E175" s="3044"/>
      <c r="F175" s="601">
        <f t="shared" si="140"/>
        <v>0</v>
      </c>
      <c r="G175" s="602">
        <f t="shared" ref="G175:K175" si="198">F175+(G131*$C131)-(G153*$C131)</f>
        <v>0</v>
      </c>
      <c r="H175" s="602">
        <f t="shared" si="198"/>
        <v>-1</v>
      </c>
      <c r="I175" s="602">
        <f t="shared" si="198"/>
        <v>-3</v>
      </c>
      <c r="J175" s="602">
        <f t="shared" si="198"/>
        <v>-3</v>
      </c>
      <c r="K175" s="603">
        <f t="shared" si="198"/>
        <v>-3</v>
      </c>
      <c r="L175" s="3044"/>
      <c r="M175" s="601">
        <f t="shared" si="142"/>
        <v>0</v>
      </c>
      <c r="N175" s="602">
        <f t="shared" ref="N175:R175" si="199">M175+(N131*$C131)-(N153*$C131)</f>
        <v>0</v>
      </c>
      <c r="O175" s="602">
        <f t="shared" si="199"/>
        <v>0</v>
      </c>
      <c r="P175" s="602">
        <f t="shared" si="199"/>
        <v>0</v>
      </c>
      <c r="Q175" s="602">
        <f t="shared" si="199"/>
        <v>0</v>
      </c>
      <c r="R175" s="603">
        <f t="shared" si="199"/>
        <v>0</v>
      </c>
      <c r="S175" s="3044"/>
      <c r="T175" s="601">
        <f t="shared" si="144"/>
        <v>0</v>
      </c>
      <c r="U175" s="602">
        <f t="shared" ref="U175:Y175" si="200">T175+(U131*$C131)-(U153*$C131)</f>
        <v>0</v>
      </c>
      <c r="V175" s="602">
        <f t="shared" si="200"/>
        <v>-1</v>
      </c>
      <c r="W175" s="602">
        <f t="shared" si="200"/>
        <v>-1</v>
      </c>
      <c r="X175" s="602">
        <f t="shared" si="200"/>
        <v>-1</v>
      </c>
      <c r="Y175" s="603">
        <f t="shared" si="200"/>
        <v>-1</v>
      </c>
      <c r="Z175" s="3044"/>
      <c r="AA175" s="3106"/>
      <c r="AB175" s="3107"/>
      <c r="AC175" s="3107"/>
      <c r="AD175" s="3107"/>
      <c r="AE175" s="3107"/>
      <c r="AF175" s="3108"/>
      <c r="AG175" s="307"/>
    </row>
    <row r="176" spans="1:33" ht="15.75">
      <c r="A176" s="1612"/>
      <c r="B176" s="531"/>
      <c r="C176" s="531"/>
      <c r="D176" s="531"/>
      <c r="E176" s="531"/>
      <c r="F176" s="531"/>
      <c r="G176" s="531"/>
      <c r="H176" s="531"/>
      <c r="I176" s="531"/>
      <c r="J176" s="531"/>
      <c r="K176" s="531"/>
      <c r="L176" s="531"/>
    </row>
    <row r="177" spans="1:29">
      <c r="A177" s="1826"/>
      <c r="B177" s="337"/>
      <c r="C177" s="337"/>
      <c r="D177" s="337"/>
      <c r="E177" s="338"/>
      <c r="F177" s="338"/>
      <c r="G177" s="338"/>
      <c r="H177" s="338"/>
      <c r="I177" s="338"/>
      <c r="J177" s="338"/>
      <c r="K177" s="338"/>
      <c r="L177" s="338"/>
    </row>
    <row r="178" spans="1:29">
      <c r="A178" s="1826"/>
      <c r="B178" s="337"/>
      <c r="C178" s="337"/>
      <c r="D178" s="337"/>
      <c r="E178" s="338"/>
      <c r="F178" s="338"/>
      <c r="G178" s="338"/>
      <c r="H178" s="338"/>
      <c r="I178" s="338"/>
      <c r="J178" s="338"/>
      <c r="K178" s="338"/>
      <c r="L178" s="338"/>
    </row>
    <row r="179" spans="1:29">
      <c r="C179" s="349" t="str">
        <f>'11. Амортиз. план'!C286</f>
        <v>Дата: 27.06.2016г.</v>
      </c>
      <c r="J179" s="199"/>
      <c r="K179" s="217"/>
    </row>
    <row r="180" spans="1:29">
      <c r="J180" s="574"/>
      <c r="K180" s="217"/>
    </row>
    <row r="181" spans="1:29">
      <c r="J181" s="574"/>
      <c r="K181" s="217"/>
      <c r="L181" s="573"/>
      <c r="W181" s="350" t="str">
        <f>'11.1.Амортиз.нови активи'!U112</f>
        <v>Главен счетоводител:</v>
      </c>
      <c r="X181" s="339"/>
      <c r="Y181" s="289"/>
      <c r="Z181" s="219" t="str">
        <f>'11.1.Амортиз.нови активи'!X112</f>
        <v>.....................................................</v>
      </c>
      <c r="AA181" s="199"/>
      <c r="AB181" s="217"/>
      <c r="AC181" s="339"/>
    </row>
    <row r="182" spans="1:29">
      <c r="J182" s="574"/>
      <c r="K182" s="217"/>
      <c r="W182" s="259"/>
      <c r="X182" s="288"/>
      <c r="Y182" s="220"/>
      <c r="Z182" s="290"/>
      <c r="AA182" s="1849" t="str">
        <f>'11.1.Амортиз.нови активи'!Y113</f>
        <v>(подпис)</v>
      </c>
      <c r="AB182" s="217"/>
      <c r="AC182" s="339"/>
    </row>
    <row r="183" spans="1:29">
      <c r="J183" s="574"/>
      <c r="K183" s="217"/>
      <c r="W183" s="259"/>
      <c r="X183" s="288"/>
      <c r="Y183" s="220"/>
      <c r="Z183" s="290"/>
      <c r="AA183" s="291"/>
      <c r="AB183" s="217"/>
      <c r="AC183" s="339"/>
    </row>
    <row r="184" spans="1:29">
      <c r="J184" s="574"/>
      <c r="K184" s="217"/>
      <c r="W184" s="259"/>
      <c r="X184" s="288"/>
      <c r="Y184" s="220"/>
      <c r="Z184" s="290"/>
      <c r="AA184" s="291"/>
      <c r="AB184" s="217"/>
      <c r="AC184" s="339"/>
    </row>
    <row r="185" spans="1:29">
      <c r="J185" s="574"/>
      <c r="K185" s="217"/>
      <c r="W185" s="259"/>
      <c r="X185" s="288"/>
      <c r="Y185" s="220"/>
      <c r="Z185" s="290"/>
      <c r="AA185" s="291"/>
      <c r="AB185" s="217"/>
      <c r="AC185" s="339"/>
    </row>
    <row r="186" spans="1:29">
      <c r="A186" s="3518" t="s">
        <v>247</v>
      </c>
      <c r="B186" s="3518"/>
      <c r="C186" s="3518"/>
      <c r="D186" s="3518"/>
      <c r="E186" s="3518"/>
      <c r="K186" s="217"/>
      <c r="L186" s="3062"/>
      <c r="W186" s="261" t="str">
        <f>'11.1.Амортиз.нови активи'!V118</f>
        <v>Управител:</v>
      </c>
      <c r="X186" s="288"/>
      <c r="Y186" s="220"/>
      <c r="Z186" s="290" t="str">
        <f>'11.1.Амортиз.нови активи'!X118</f>
        <v>.....................................................</v>
      </c>
      <c r="AA186" s="291"/>
      <c r="AB186" s="217"/>
      <c r="AC186" s="339"/>
    </row>
    <row r="187" spans="1:29">
      <c r="A187" s="3519" t="s">
        <v>767</v>
      </c>
      <c r="B187" s="3519"/>
      <c r="C187" s="3519"/>
      <c r="D187" s="3519"/>
      <c r="E187" s="3519"/>
      <c r="F187" s="3088"/>
      <c r="G187" s="3088"/>
      <c r="H187" s="3088"/>
      <c r="I187" s="3088"/>
      <c r="J187" s="222"/>
      <c r="K187" s="222"/>
      <c r="L187" s="3088"/>
      <c r="M187" s="3089"/>
      <c r="N187" s="3090"/>
      <c r="W187" s="259"/>
      <c r="X187" s="292"/>
      <c r="Y187" s="259"/>
      <c r="Z187" s="219"/>
      <c r="AA187" s="1850" t="str">
        <f>'11.1.Амортиз.нови активи'!Y119</f>
        <v>(подпис и печат)</v>
      </c>
      <c r="AB187" s="217"/>
      <c r="AC187" s="339"/>
    </row>
    <row r="188" spans="1:29">
      <c r="A188" s="3522" t="s">
        <v>1557</v>
      </c>
      <c r="B188" s="3523"/>
      <c r="C188" s="3523"/>
      <c r="D188" s="3523"/>
      <c r="E188" s="3523"/>
      <c r="F188" s="3524"/>
      <c r="G188" s="3524"/>
      <c r="H188" s="3524"/>
      <c r="I188" s="3524"/>
      <c r="J188" s="3524"/>
      <c r="K188" s="3524"/>
      <c r="L188" s="3524"/>
      <c r="M188" s="3524"/>
      <c r="N188" s="3524"/>
      <c r="W188" s="259"/>
      <c r="X188" s="259"/>
      <c r="Y188" s="217"/>
      <c r="Z188" s="575"/>
      <c r="AA188" s="339"/>
    </row>
    <row r="189" spans="1:29">
      <c r="A189" s="660" t="s">
        <v>1555</v>
      </c>
      <c r="B189" s="3088"/>
      <c r="C189" s="3088"/>
      <c r="D189" s="3088"/>
      <c r="E189" s="3088"/>
      <c r="F189" s="3088"/>
      <c r="G189" s="3088"/>
      <c r="H189" s="3088"/>
      <c r="I189" s="3088"/>
      <c r="J189" s="3088"/>
      <c r="K189" s="3088"/>
      <c r="L189" s="3088"/>
      <c r="M189" s="3089"/>
      <c r="N189" s="3090"/>
    </row>
    <row r="190" spans="1:29" ht="54.75" customHeight="1">
      <c r="A190" s="3494" t="s">
        <v>1531</v>
      </c>
      <c r="B190" s="3494"/>
      <c r="C190" s="3494"/>
      <c r="D190" s="3494"/>
      <c r="E190" s="3494"/>
      <c r="F190" s="3494"/>
      <c r="G190" s="3494"/>
      <c r="H190" s="3494"/>
      <c r="I190" s="3494"/>
      <c r="J190" s="3494"/>
      <c r="K190" s="3494"/>
      <c r="L190" s="3494"/>
      <c r="M190" s="3494"/>
      <c r="N190" s="3494"/>
    </row>
    <row r="191" spans="1:29" ht="14.25" customHeight="1">
      <c r="A191" s="3091" t="s">
        <v>1556</v>
      </c>
      <c r="B191" s="3088"/>
      <c r="C191" s="3088"/>
      <c r="D191" s="3088"/>
      <c r="E191" s="3088"/>
      <c r="F191" s="3088"/>
      <c r="G191" s="3088"/>
      <c r="H191" s="3088"/>
      <c r="I191" s="3088"/>
      <c r="J191" s="3088"/>
      <c r="K191" s="3088"/>
      <c r="L191" s="3088"/>
      <c r="M191" s="3089"/>
      <c r="N191" s="3090"/>
    </row>
    <row r="192" spans="1:29" ht="60.75" customHeight="1"/>
    <row r="193" ht="20.25" customHeight="1"/>
  </sheetData>
  <sheetProtection password="C6DB" sheet="1" objects="1" scenarios="1" formatCells="0" formatColumns="0" formatRows="0"/>
  <mergeCells count="16">
    <mergeCell ref="A2:R2"/>
    <mergeCell ref="A3:R3"/>
    <mergeCell ref="A4:R4"/>
    <mergeCell ref="A5:R5"/>
    <mergeCell ref="A190:N190"/>
    <mergeCell ref="A188:N188"/>
    <mergeCell ref="Z8:AF8"/>
    <mergeCell ref="D8:D9"/>
    <mergeCell ref="A8:A9"/>
    <mergeCell ref="A186:E186"/>
    <mergeCell ref="A187:E187"/>
    <mergeCell ref="E8:K8"/>
    <mergeCell ref="L8:R8"/>
    <mergeCell ref="S8:Y8"/>
    <mergeCell ref="B8:B9"/>
    <mergeCell ref="C8:C9"/>
  </mergeCells>
  <printOptions horizontalCentered="1"/>
  <pageMargins left="0.31496062992125984" right="0.31496062992125984" top="0.74803149606299213" bottom="0.35433070866141736" header="0.31496062992125984" footer="0.31496062992125984"/>
  <pageSetup paperSize="9" scale="57" orientation="landscape" r:id="rId1"/>
  <headerFooter>
    <oddFooter>&amp;A&amp;RPage &amp;P</oddFooter>
  </headerFooter>
  <rowBreaks count="2" manualBreakCount="2">
    <brk id="59" max="16383" man="1"/>
    <brk id="115" max="16383" man="1"/>
  </rowBreaks>
  <colBreaks count="2" manualBreakCount="2">
    <brk id="18" max="1048575" man="1"/>
    <brk id="32" max="1048575" man="1"/>
  </colBreaks>
  <ignoredErrors>
    <ignoredError sqref="F64 F67 F71 F74 F94 G94:Z94 G74:Z74 G71:Z71 G67:Z67 G64:Z64 E83:Y83 F99:Y99" formula="1"/>
    <ignoredError sqref="B166:B175 B155:B163 B122:B131 B111:B118" numberStoredAsText="1"/>
    <ignoredError sqref="E34 G34:Z34" formulaRange="1"/>
  </ignoredError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O493"/>
  <sheetViews>
    <sheetView view="pageBreakPreview" zoomScaleNormal="80" zoomScaleSheetLayoutView="100" workbookViewId="0">
      <pane xSplit="2" ySplit="10" topLeftCell="C11" activePane="bottomRight" state="frozen"/>
      <selection pane="topRight" activeCell="C1" sqref="C1"/>
      <selection pane="bottomLeft" activeCell="A11" sqref="A11"/>
      <selection pane="bottomRight" activeCell="N58" sqref="N58"/>
    </sheetView>
  </sheetViews>
  <sheetFormatPr defaultRowHeight="15"/>
  <cols>
    <col min="1" max="1" width="5.85546875" style="352" customWidth="1"/>
    <col min="2" max="2" width="45.85546875" style="352" customWidth="1"/>
    <col min="3" max="3" width="11.5703125" style="353" customWidth="1"/>
    <col min="4" max="4" width="11.28515625" style="353" customWidth="1"/>
    <col min="5" max="5" width="11.85546875" style="353" customWidth="1"/>
    <col min="6" max="9" width="10.140625" style="353" customWidth="1"/>
    <col min="10" max="10" width="10.85546875" style="353" customWidth="1"/>
    <col min="11" max="16" width="10.140625" style="353" customWidth="1"/>
    <col min="17" max="23" width="11.42578125" style="353" customWidth="1"/>
    <col min="24" max="30" width="8" style="353" customWidth="1"/>
    <col min="31" max="39" width="9.140625" style="352"/>
    <col min="40" max="16384" width="9.140625" style="339"/>
  </cols>
  <sheetData>
    <row r="1" spans="1:41">
      <c r="O1" s="376" t="s">
        <v>249</v>
      </c>
      <c r="AC1" s="375"/>
      <c r="AD1" s="376" t="s">
        <v>249</v>
      </c>
      <c r="AF1" s="298"/>
      <c r="AG1" s="298"/>
      <c r="AH1" s="298"/>
    </row>
    <row r="2" spans="1:41" ht="43.5" customHeight="1">
      <c r="A2" s="3553" t="s">
        <v>1417</v>
      </c>
      <c r="B2" s="3553"/>
      <c r="C2" s="3553"/>
      <c r="D2" s="3553"/>
      <c r="E2" s="3553"/>
      <c r="F2" s="3553"/>
      <c r="G2" s="3553"/>
      <c r="H2" s="3553"/>
      <c r="I2" s="3553"/>
      <c r="J2" s="3553"/>
      <c r="K2" s="3553"/>
      <c r="L2" s="3553"/>
      <c r="M2" s="3553"/>
      <c r="N2" s="3553"/>
      <c r="O2" s="3553"/>
      <c r="P2" s="3553"/>
      <c r="Q2" s="2027"/>
      <c r="R2" s="2027"/>
      <c r="S2" s="2027"/>
      <c r="T2" s="2027"/>
      <c r="U2" s="2027"/>
      <c r="V2" s="2027"/>
      <c r="W2" s="2027"/>
      <c r="X2" s="2027"/>
      <c r="Y2" s="2027"/>
      <c r="Z2" s="2027"/>
      <c r="AA2" s="2027"/>
      <c r="AB2" s="2027"/>
      <c r="AC2" s="2027"/>
      <c r="AD2" s="2027"/>
      <c r="AE2" s="354"/>
      <c r="AF2" s="378"/>
      <c r="AG2" s="298"/>
      <c r="AH2" s="298"/>
      <c r="AI2" s="354"/>
      <c r="AJ2" s="354"/>
      <c r="AK2" s="354"/>
      <c r="AL2" s="354"/>
      <c r="AM2" s="354"/>
    </row>
    <row r="3" spans="1:41" ht="15.75">
      <c r="A3" s="3554" t="str">
        <f>'1. Анкетна карта'!A3:J3</f>
        <v>на "Водоснабдяване и канализация" ООД , гр. Враца</v>
      </c>
      <c r="B3" s="3554"/>
      <c r="C3" s="3554"/>
      <c r="D3" s="3554"/>
      <c r="E3" s="3554"/>
      <c r="F3" s="3554"/>
      <c r="G3" s="3554"/>
      <c r="H3" s="3554"/>
      <c r="I3" s="3554"/>
      <c r="J3" s="3554"/>
      <c r="K3" s="3554"/>
      <c r="L3" s="3554"/>
      <c r="M3" s="3554"/>
      <c r="N3" s="3554"/>
      <c r="O3" s="3554"/>
      <c r="P3" s="3554"/>
      <c r="Q3" s="2028"/>
      <c r="R3" s="2028"/>
      <c r="S3" s="2028"/>
      <c r="T3" s="2028"/>
      <c r="U3" s="2028"/>
      <c r="V3" s="2028"/>
      <c r="W3" s="2028"/>
      <c r="X3" s="2028"/>
      <c r="Y3" s="2028"/>
      <c r="Z3" s="2028"/>
      <c r="AA3" s="2028"/>
      <c r="AB3" s="2028"/>
      <c r="AC3" s="2028"/>
      <c r="AD3" s="2028"/>
      <c r="AF3" s="378"/>
      <c r="AG3" s="298"/>
      <c r="AH3" s="298"/>
    </row>
    <row r="4" spans="1:41" ht="15.75">
      <c r="A4" s="3554" t="str">
        <f>'1. Анкетна карта'!A4:J4</f>
        <v>ЕИК по БУЛСТАТ: 816090199</v>
      </c>
      <c r="B4" s="3554"/>
      <c r="C4" s="3554"/>
      <c r="D4" s="3554"/>
      <c r="E4" s="3554"/>
      <c r="F4" s="3554"/>
      <c r="G4" s="3554"/>
      <c r="H4" s="3554"/>
      <c r="I4" s="3554"/>
      <c r="J4" s="3554"/>
      <c r="K4" s="3554"/>
      <c r="L4" s="3554"/>
      <c r="M4" s="3554"/>
      <c r="N4" s="3554"/>
      <c r="O4" s="3554"/>
      <c r="P4" s="3554"/>
      <c r="Q4" s="2028"/>
      <c r="R4" s="2028"/>
      <c r="S4" s="2028"/>
      <c r="T4" s="2028"/>
      <c r="U4" s="2028"/>
      <c r="V4" s="2028"/>
      <c r="W4" s="2028"/>
      <c r="X4" s="2028"/>
      <c r="Y4" s="2028"/>
      <c r="Z4" s="2028"/>
      <c r="AA4" s="2028"/>
      <c r="AB4" s="2028"/>
      <c r="AC4" s="2028"/>
      <c r="AD4" s="2028"/>
      <c r="AF4" s="378"/>
      <c r="AG4" s="298"/>
      <c r="AH4" s="298"/>
    </row>
    <row r="5" spans="1:41" ht="15.75">
      <c r="A5" s="615"/>
      <c r="B5" s="615"/>
      <c r="C5" s="615"/>
      <c r="D5" s="615"/>
      <c r="E5" s="615"/>
      <c r="F5" s="615"/>
      <c r="G5" s="615"/>
      <c r="H5" s="615"/>
      <c r="I5" s="615"/>
      <c r="J5" s="615"/>
      <c r="L5" s="611"/>
      <c r="M5" s="611"/>
      <c r="N5" s="611"/>
      <c r="O5" s="611"/>
      <c r="P5" s="611"/>
      <c r="Q5" s="611"/>
      <c r="R5" s="611"/>
      <c r="S5" s="611"/>
      <c r="T5" s="611"/>
      <c r="U5" s="611"/>
      <c r="V5" s="611"/>
      <c r="W5" s="611"/>
      <c r="X5" s="611"/>
      <c r="Y5" s="611"/>
      <c r="Z5" s="611"/>
      <c r="AA5" s="611"/>
      <c r="AB5" s="611"/>
      <c r="AC5" s="611"/>
      <c r="AD5" s="611"/>
      <c r="AE5" s="611"/>
      <c r="AF5" s="611"/>
      <c r="AH5" s="378"/>
      <c r="AI5" s="298"/>
      <c r="AJ5" s="298"/>
      <c r="AN5" s="352"/>
      <c r="AO5" s="352"/>
    </row>
    <row r="6" spans="1:41" ht="30.75" customHeight="1">
      <c r="A6" s="615"/>
      <c r="B6" s="615"/>
      <c r="C6" s="615"/>
      <c r="D6" s="615"/>
      <c r="E6" s="615"/>
      <c r="F6" s="615"/>
      <c r="G6" s="615"/>
      <c r="H6" s="615"/>
      <c r="I6" s="615"/>
      <c r="J6" s="615"/>
      <c r="K6" s="355"/>
      <c r="L6" s="355"/>
      <c r="M6" s="355"/>
      <c r="N6" s="355"/>
      <c r="O6" s="355"/>
      <c r="P6" s="355"/>
      <c r="Q6" s="355"/>
      <c r="R6" s="355"/>
      <c r="S6" s="355"/>
      <c r="T6" s="355"/>
      <c r="U6" s="355"/>
      <c r="V6" s="355"/>
      <c r="W6" s="355"/>
      <c r="X6" s="355"/>
      <c r="Y6" s="355"/>
      <c r="Z6" s="355"/>
      <c r="AA6" s="355"/>
      <c r="AB6" s="355"/>
      <c r="AC6" s="355"/>
      <c r="AD6" s="355"/>
      <c r="AF6" s="378"/>
      <c r="AG6" s="298"/>
      <c r="AH6" s="298"/>
    </row>
    <row r="7" spans="1:41" ht="15.75" customHeight="1" thickBot="1">
      <c r="A7" s="356"/>
      <c r="B7" s="356"/>
      <c r="C7" s="357"/>
      <c r="D7" s="613"/>
      <c r="E7" s="357"/>
      <c r="F7" s="357"/>
      <c r="G7" s="614"/>
      <c r="H7" s="615"/>
      <c r="I7" s="615"/>
      <c r="J7" s="615"/>
      <c r="K7" s="615"/>
      <c r="L7" s="357"/>
      <c r="M7" s="357"/>
      <c r="N7" s="357"/>
      <c r="O7" s="357"/>
      <c r="W7" s="357"/>
      <c r="X7" s="357"/>
      <c r="Y7" s="357"/>
      <c r="Z7" s="357"/>
      <c r="AA7" s="357"/>
      <c r="AB7" s="357"/>
      <c r="AC7" s="377"/>
      <c r="AD7" s="617" t="s">
        <v>250</v>
      </c>
      <c r="AF7" s="378"/>
      <c r="AG7" s="298"/>
      <c r="AH7" s="298"/>
    </row>
    <row r="8" spans="1:41" ht="15" customHeight="1" thickBot="1">
      <c r="A8" s="3534" t="s">
        <v>1</v>
      </c>
      <c r="B8" s="3533" t="s">
        <v>286</v>
      </c>
      <c r="C8" s="3541" t="s">
        <v>287</v>
      </c>
      <c r="D8" s="3542"/>
      <c r="E8" s="3542"/>
      <c r="F8" s="3542"/>
      <c r="G8" s="3542"/>
      <c r="H8" s="3542"/>
      <c r="I8" s="3542"/>
      <c r="J8" s="3542"/>
      <c r="K8" s="3542"/>
      <c r="L8" s="3542"/>
      <c r="M8" s="3542"/>
      <c r="N8" s="3542"/>
      <c r="O8" s="3542"/>
      <c r="P8" s="3542"/>
      <c r="Q8" s="3542"/>
      <c r="R8" s="3542"/>
      <c r="S8" s="3542"/>
      <c r="T8" s="3542"/>
      <c r="U8" s="3542"/>
      <c r="V8" s="3542"/>
      <c r="W8" s="3543"/>
      <c r="X8" s="3541" t="s">
        <v>288</v>
      </c>
      <c r="Y8" s="3542"/>
      <c r="Z8" s="3542"/>
      <c r="AA8" s="3542"/>
      <c r="AB8" s="3542"/>
      <c r="AC8" s="3542"/>
      <c r="AD8" s="3543"/>
      <c r="AF8" s="378"/>
      <c r="AG8" s="298"/>
      <c r="AH8" s="298"/>
    </row>
    <row r="9" spans="1:41" ht="15.75" customHeight="1" thickBot="1">
      <c r="A9" s="3537"/>
      <c r="B9" s="3539"/>
      <c r="C9" s="3547" t="s">
        <v>270</v>
      </c>
      <c r="D9" s="3548"/>
      <c r="E9" s="3548"/>
      <c r="F9" s="3548"/>
      <c r="G9" s="3548"/>
      <c r="H9" s="3548"/>
      <c r="I9" s="3549"/>
      <c r="J9" s="3550" t="s">
        <v>271</v>
      </c>
      <c r="K9" s="3551"/>
      <c r="L9" s="3551"/>
      <c r="M9" s="3551"/>
      <c r="N9" s="3551"/>
      <c r="O9" s="3551"/>
      <c r="P9" s="3552"/>
      <c r="Q9" s="3550" t="s">
        <v>272</v>
      </c>
      <c r="R9" s="3551"/>
      <c r="S9" s="3551"/>
      <c r="T9" s="3551"/>
      <c r="U9" s="3551"/>
      <c r="V9" s="3551"/>
      <c r="W9" s="3552"/>
      <c r="X9" s="3544"/>
      <c r="Y9" s="3545"/>
      <c r="Z9" s="3545"/>
      <c r="AA9" s="3545"/>
      <c r="AB9" s="3545"/>
      <c r="AC9" s="3545"/>
      <c r="AD9" s="3546"/>
      <c r="AF9" s="378"/>
      <c r="AG9" s="298"/>
      <c r="AH9" s="298"/>
    </row>
    <row r="10" spans="1:41" ht="15.75" thickBot="1">
      <c r="A10" s="3538"/>
      <c r="B10" s="3540"/>
      <c r="C10" s="2065" t="str">
        <f>'Приложение '!G12</f>
        <v>2015 г.</v>
      </c>
      <c r="D10" s="2074" t="str">
        <f>'Приложение '!G13</f>
        <v>2016 г.</v>
      </c>
      <c r="E10" s="1195" t="str">
        <f>'Приложение '!G14</f>
        <v>2017 г.</v>
      </c>
      <c r="F10" s="1193" t="str">
        <f>'Приложение '!G15</f>
        <v>2018 г.</v>
      </c>
      <c r="G10" s="1193" t="str">
        <f>'Приложение '!G16</f>
        <v>2019 г.</v>
      </c>
      <c r="H10" s="1193" t="str">
        <f>'Приложение '!G17</f>
        <v>2020 г.</v>
      </c>
      <c r="I10" s="1194" t="str">
        <f>'Приложение '!G18</f>
        <v>2021 г.</v>
      </c>
      <c r="J10" s="2065" t="str">
        <f>C10</f>
        <v>2015 г.</v>
      </c>
      <c r="K10" s="2074" t="str">
        <f t="shared" ref="K10:AD10" si="0">D10</f>
        <v>2016 г.</v>
      </c>
      <c r="L10" s="1195" t="str">
        <f t="shared" ref="L10:R10" si="1">E10</f>
        <v>2017 г.</v>
      </c>
      <c r="M10" s="1195" t="str">
        <f t="shared" si="1"/>
        <v>2018 г.</v>
      </c>
      <c r="N10" s="1195" t="str">
        <f t="shared" si="1"/>
        <v>2019 г.</v>
      </c>
      <c r="O10" s="1195" t="str">
        <f t="shared" si="1"/>
        <v>2020 г.</v>
      </c>
      <c r="P10" s="1196" t="str">
        <f t="shared" si="1"/>
        <v>2021 г.</v>
      </c>
      <c r="Q10" s="2076" t="str">
        <f t="shared" si="1"/>
        <v>2015 г.</v>
      </c>
      <c r="R10" s="2074" t="str">
        <f t="shared" si="1"/>
        <v>2016 г.</v>
      </c>
      <c r="S10" s="1360" t="str">
        <f t="shared" si="0"/>
        <v>2017 г.</v>
      </c>
      <c r="T10" s="1360" t="str">
        <f t="shared" si="0"/>
        <v>2018 г.</v>
      </c>
      <c r="U10" s="1360" t="str">
        <f t="shared" si="0"/>
        <v>2019 г.</v>
      </c>
      <c r="V10" s="1360" t="str">
        <f t="shared" si="0"/>
        <v>2020 г.</v>
      </c>
      <c r="W10" s="2042" t="str">
        <f t="shared" si="0"/>
        <v>2021 г.</v>
      </c>
      <c r="X10" s="2074" t="str">
        <f t="shared" si="0"/>
        <v>2015 г.</v>
      </c>
      <c r="Y10" s="2074" t="str">
        <f t="shared" si="0"/>
        <v>2016 г.</v>
      </c>
      <c r="Z10" s="1360" t="str">
        <f t="shared" si="0"/>
        <v>2017 г.</v>
      </c>
      <c r="AA10" s="1360" t="str">
        <f t="shared" si="0"/>
        <v>2018 г.</v>
      </c>
      <c r="AB10" s="1360" t="str">
        <f t="shared" si="0"/>
        <v>2019 г.</v>
      </c>
      <c r="AC10" s="1360" t="str">
        <f t="shared" si="0"/>
        <v>2020 г.</v>
      </c>
      <c r="AD10" s="2042" t="str">
        <f t="shared" si="0"/>
        <v>2021 г.</v>
      </c>
      <c r="AF10" s="378"/>
      <c r="AG10" s="298"/>
      <c r="AH10" s="298"/>
    </row>
    <row r="11" spans="1:41" ht="15.75" thickBot="1">
      <c r="A11" s="1045" t="s">
        <v>193</v>
      </c>
      <c r="B11" s="1055" t="s">
        <v>289</v>
      </c>
      <c r="C11" s="2066">
        <f>SUM(C12:C27)-C12-C18-C24</f>
        <v>2898</v>
      </c>
      <c r="D11" s="1047">
        <f t="shared" ref="D11:AD11" si="2">SUM(D12:D27)-D12-D18-D24</f>
        <v>3046</v>
      </c>
      <c r="E11" s="1071">
        <f t="shared" si="2"/>
        <v>2876</v>
      </c>
      <c r="F11" s="1072">
        <f t="shared" si="2"/>
        <v>2876</v>
      </c>
      <c r="G11" s="1072">
        <f t="shared" si="2"/>
        <v>2899</v>
      </c>
      <c r="H11" s="1072">
        <f t="shared" si="2"/>
        <v>2876</v>
      </c>
      <c r="I11" s="1073">
        <f t="shared" si="2"/>
        <v>2876</v>
      </c>
      <c r="J11" s="2066">
        <f t="shared" si="2"/>
        <v>73</v>
      </c>
      <c r="K11" s="1047">
        <f t="shared" si="2"/>
        <v>84</v>
      </c>
      <c r="L11" s="1071">
        <f t="shared" si="2"/>
        <v>76.5</v>
      </c>
      <c r="M11" s="1072">
        <f t="shared" si="2"/>
        <v>76.5</v>
      </c>
      <c r="N11" s="1072">
        <f t="shared" si="2"/>
        <v>77</v>
      </c>
      <c r="O11" s="1072">
        <f t="shared" si="2"/>
        <v>76.5</v>
      </c>
      <c r="P11" s="1073">
        <f t="shared" si="2"/>
        <v>76.5</v>
      </c>
      <c r="Q11" s="2066">
        <f t="shared" si="2"/>
        <v>435</v>
      </c>
      <c r="R11" s="1047">
        <f t="shared" si="2"/>
        <v>442</v>
      </c>
      <c r="S11" s="1071">
        <f t="shared" si="2"/>
        <v>498</v>
      </c>
      <c r="T11" s="1072">
        <f t="shared" si="2"/>
        <v>551</v>
      </c>
      <c r="U11" s="1072">
        <f t="shared" si="2"/>
        <v>516</v>
      </c>
      <c r="V11" s="1072">
        <f t="shared" si="2"/>
        <v>516</v>
      </c>
      <c r="W11" s="1073">
        <f t="shared" si="2"/>
        <v>516</v>
      </c>
      <c r="X11" s="1047">
        <f t="shared" si="2"/>
        <v>1068.0699999999997</v>
      </c>
      <c r="Y11" s="1047">
        <f t="shared" si="2"/>
        <v>1052</v>
      </c>
      <c r="Z11" s="1071">
        <f t="shared" si="2"/>
        <v>1044.6300000000001</v>
      </c>
      <c r="AA11" s="1072">
        <f t="shared" si="2"/>
        <v>1047.6300000000001</v>
      </c>
      <c r="AB11" s="1072">
        <f t="shared" si="2"/>
        <v>1049.6300000000001</v>
      </c>
      <c r="AC11" s="1072">
        <f t="shared" si="2"/>
        <v>1054.6300000000001</v>
      </c>
      <c r="AD11" s="1073">
        <f t="shared" si="2"/>
        <v>1059.6300000000001</v>
      </c>
      <c r="AF11" s="378"/>
      <c r="AG11" s="298"/>
      <c r="AH11" s="298"/>
    </row>
    <row r="12" spans="1:41">
      <c r="A12" s="1031" t="s">
        <v>98</v>
      </c>
      <c r="B12" s="1032" t="s">
        <v>290</v>
      </c>
      <c r="C12" s="2067">
        <f>SUM(C13:C16)</f>
        <v>48</v>
      </c>
      <c r="D12" s="1076">
        <f>SUM(D13:D16)</f>
        <v>83</v>
      </c>
      <c r="E12" s="2071">
        <f t="shared" ref="E12:AD12" si="3">SUM(E13:E16)</f>
        <v>50</v>
      </c>
      <c r="F12" s="1077">
        <f t="shared" si="3"/>
        <v>50</v>
      </c>
      <c r="G12" s="1077">
        <f t="shared" si="3"/>
        <v>50</v>
      </c>
      <c r="H12" s="1078">
        <f t="shared" si="3"/>
        <v>50</v>
      </c>
      <c r="I12" s="1079">
        <f t="shared" si="3"/>
        <v>50</v>
      </c>
      <c r="J12" s="2067">
        <f t="shared" si="3"/>
        <v>0</v>
      </c>
      <c r="K12" s="1076">
        <f t="shared" si="3"/>
        <v>0</v>
      </c>
      <c r="L12" s="1080">
        <f t="shared" si="3"/>
        <v>0</v>
      </c>
      <c r="M12" s="1078">
        <f t="shared" si="3"/>
        <v>0</v>
      </c>
      <c r="N12" s="1078">
        <f t="shared" si="3"/>
        <v>0</v>
      </c>
      <c r="O12" s="1078">
        <f t="shared" si="3"/>
        <v>0</v>
      </c>
      <c r="P12" s="1079">
        <f t="shared" si="3"/>
        <v>0</v>
      </c>
      <c r="Q12" s="2067">
        <f t="shared" si="3"/>
        <v>13</v>
      </c>
      <c r="R12" s="1076">
        <f t="shared" si="3"/>
        <v>13</v>
      </c>
      <c r="S12" s="1080">
        <f t="shared" si="3"/>
        <v>28</v>
      </c>
      <c r="T12" s="1078">
        <f t="shared" si="3"/>
        <v>31</v>
      </c>
      <c r="U12" s="1078">
        <f t="shared" si="3"/>
        <v>31</v>
      </c>
      <c r="V12" s="1078">
        <f t="shared" si="3"/>
        <v>31</v>
      </c>
      <c r="W12" s="1079">
        <f t="shared" si="3"/>
        <v>31</v>
      </c>
      <c r="X12" s="1076">
        <f t="shared" si="3"/>
        <v>0</v>
      </c>
      <c r="Y12" s="1076">
        <f t="shared" si="3"/>
        <v>0</v>
      </c>
      <c r="Z12" s="1080">
        <f t="shared" si="3"/>
        <v>0</v>
      </c>
      <c r="AA12" s="1078">
        <f t="shared" si="3"/>
        <v>0</v>
      </c>
      <c r="AB12" s="1078">
        <f t="shared" si="3"/>
        <v>0</v>
      </c>
      <c r="AC12" s="1078">
        <f t="shared" si="3"/>
        <v>0</v>
      </c>
      <c r="AD12" s="1079">
        <f t="shared" si="3"/>
        <v>0</v>
      </c>
      <c r="AF12" s="378"/>
      <c r="AG12" s="298"/>
      <c r="AH12" s="298"/>
    </row>
    <row r="13" spans="1:41" s="360" customFormat="1">
      <c r="A13" s="1081" t="s">
        <v>484</v>
      </c>
      <c r="B13" s="1035" t="s">
        <v>291</v>
      </c>
      <c r="C13" s="2801">
        <f>'12.1.Разходи-увелич.и нам.'!C13</f>
        <v>48</v>
      </c>
      <c r="D13" s="2422">
        <f>'12.1.Разходи-увелич.и нам.'!D13</f>
        <v>83</v>
      </c>
      <c r="E13" s="2423">
        <f>$C13+('12.1.Разходи-увелич.и нам.'!E13+'12.1.Разходи-увелич.и нам.'!F13)</f>
        <v>50</v>
      </c>
      <c r="F13" s="2423">
        <f>$C13+('12.1.Разходи-увелич.и нам.'!G13+'12.1.Разходи-увелич.и нам.'!H13)</f>
        <v>50</v>
      </c>
      <c r="G13" s="2423">
        <f>$C13+('12.1.Разходи-увелич.и нам.'!I13+'12.1.Разходи-увелич.и нам.'!J13)</f>
        <v>50</v>
      </c>
      <c r="H13" s="2423">
        <f>$C13+('12.1.Разходи-увелич.и нам.'!K13+'12.1.Разходи-увелич.и нам.'!L13)</f>
        <v>50</v>
      </c>
      <c r="I13" s="2424">
        <f>$C13+('12.1.Разходи-увелич.и нам.'!M13+'12.1.Разходи-увелич.и нам.'!N13)</f>
        <v>50</v>
      </c>
      <c r="J13" s="2425">
        <f>'12.1.Разходи-увелич.и нам.'!O13</f>
        <v>0</v>
      </c>
      <c r="K13" s="2422">
        <f>'12.1.Разходи-увелич.и нам.'!P13</f>
        <v>0</v>
      </c>
      <c r="L13" s="2423">
        <f>$J13+('12.1.Разходи-увелич.и нам.'!Q13+'12.1.Разходи-увелич.и нам.'!R13)</f>
        <v>0</v>
      </c>
      <c r="M13" s="2423">
        <f>$J13+('12.1.Разходи-увелич.и нам.'!S13+'12.1.Разходи-увелич.и нам.'!T13)</f>
        <v>0</v>
      </c>
      <c r="N13" s="2423">
        <f>$J13+('12.1.Разходи-увелич.и нам.'!U13+'12.1.Разходи-увелич.и нам.'!V13)</f>
        <v>0</v>
      </c>
      <c r="O13" s="2423">
        <f>$J13+('12.1.Разходи-увелич.и нам.'!W13+'12.1.Разходи-увелич.и нам.'!X13)</f>
        <v>0</v>
      </c>
      <c r="P13" s="2424">
        <f>$J13+('12.1.Разходи-увелич.и нам.'!Y13+'12.1.Разходи-увелич.и нам.'!Z13)</f>
        <v>0</v>
      </c>
      <c r="Q13" s="2425">
        <f>'12.1.Разходи-увелич.и нам.'!AA13</f>
        <v>0</v>
      </c>
      <c r="R13" s="2426">
        <f>'12.1.Разходи-увелич.и нам.'!AB13</f>
        <v>4</v>
      </c>
      <c r="S13" s="2423">
        <f>$Q13+('12.1.Разходи-увелич.и нам.'!AC13+'12.1.Разходи-увелич.и нам.'!AD13)</f>
        <v>0</v>
      </c>
      <c r="T13" s="2423">
        <f>$Q13+('12.1.Разходи-увелич.и нам.'!AE13+'12.1.Разходи-увелич.и нам.'!AF13)</f>
        <v>0</v>
      </c>
      <c r="U13" s="2423">
        <f>$Q13+('12.1.Разходи-увелич.и нам.'!AG13+'12.1.Разходи-увелич.и нам.'!AH13)</f>
        <v>0</v>
      </c>
      <c r="V13" s="2423">
        <f>$Q13+('12.1.Разходи-увелич.и нам.'!AI13+'12.1.Разходи-увелич.и нам.'!AJ13)</f>
        <v>0</v>
      </c>
      <c r="W13" s="2424">
        <f>$Q13+('12.1.Разходи-увелич.и нам.'!AK13+'12.1.Разходи-увелич.и нам.'!AL13)</f>
        <v>0</v>
      </c>
      <c r="X13" s="2246">
        <v>0</v>
      </c>
      <c r="Y13" s="2246">
        <v>0</v>
      </c>
      <c r="Z13" s="795">
        <v>0</v>
      </c>
      <c r="AA13" s="782">
        <v>0</v>
      </c>
      <c r="AB13" s="782">
        <v>0</v>
      </c>
      <c r="AC13" s="782">
        <v>0</v>
      </c>
      <c r="AD13" s="791">
        <v>0</v>
      </c>
      <c r="AE13" s="358"/>
      <c r="AF13" s="379"/>
      <c r="AG13" s="359"/>
      <c r="AH13" s="359"/>
      <c r="AI13" s="358"/>
      <c r="AJ13" s="358"/>
      <c r="AK13" s="358"/>
      <c r="AL13" s="358"/>
      <c r="AM13" s="358"/>
    </row>
    <row r="14" spans="1:41" s="360" customFormat="1">
      <c r="A14" s="1081" t="s">
        <v>485</v>
      </c>
      <c r="B14" s="1035" t="s">
        <v>292</v>
      </c>
      <c r="C14" s="2801">
        <f>'12.1.Разходи-увелич.и нам.'!C14</f>
        <v>0</v>
      </c>
      <c r="D14" s="2422">
        <f>'12.1.Разходи-увелич.и нам.'!D14</f>
        <v>0</v>
      </c>
      <c r="E14" s="2423">
        <f>$C14+('12.1.Разходи-увелич.и нам.'!E14+'12.1.Разходи-увелич.и нам.'!F14)</f>
        <v>0</v>
      </c>
      <c r="F14" s="2423">
        <f>$C14+('12.1.Разходи-увелич.и нам.'!G14+'12.1.Разходи-увелич.и нам.'!H14)</f>
        <v>0</v>
      </c>
      <c r="G14" s="2423">
        <f>$C14+('12.1.Разходи-увелич.и нам.'!I14+'12.1.Разходи-увелич.и нам.'!J14)</f>
        <v>0</v>
      </c>
      <c r="H14" s="2423">
        <f>$C14+('12.1.Разходи-увелич.и нам.'!K14+'12.1.Разходи-увелич.и нам.'!L14)</f>
        <v>0</v>
      </c>
      <c r="I14" s="2424">
        <f>$C14+('12.1.Разходи-увелич.и нам.'!M14+'12.1.Разходи-увелич.и нам.'!N14)</f>
        <v>0</v>
      </c>
      <c r="J14" s="2425">
        <f>'12.1.Разходи-увелич.и нам.'!O14</f>
        <v>0</v>
      </c>
      <c r="K14" s="2422">
        <f>'12.1.Разходи-увелич.и нам.'!P14</f>
        <v>0</v>
      </c>
      <c r="L14" s="2423">
        <f>$J14+('12.1.Разходи-увелич.и нам.'!Q14+'12.1.Разходи-увелич.и нам.'!R14)</f>
        <v>0</v>
      </c>
      <c r="M14" s="2423">
        <f>$J14+('12.1.Разходи-увелич.и нам.'!S14+'12.1.Разходи-увелич.и нам.'!T14)</f>
        <v>0</v>
      </c>
      <c r="N14" s="2423">
        <f>$J14+('12.1.Разходи-увелич.и нам.'!U14+'12.1.Разходи-увелич.и нам.'!V14)</f>
        <v>0</v>
      </c>
      <c r="O14" s="2423">
        <f>$J14+('12.1.Разходи-увелич.и нам.'!W14+'12.1.Разходи-увелич.и нам.'!X14)</f>
        <v>0</v>
      </c>
      <c r="P14" s="2424">
        <f>$J14+('12.1.Разходи-увелич.и нам.'!Y14+'12.1.Разходи-увелич.и нам.'!Z14)</f>
        <v>0</v>
      </c>
      <c r="Q14" s="2425">
        <f>'12.1.Разходи-увелич.и нам.'!AA14</f>
        <v>0</v>
      </c>
      <c r="R14" s="2426">
        <f>'12.1.Разходи-увелич.и нам.'!AB14</f>
        <v>0</v>
      </c>
      <c r="S14" s="2423">
        <f>$Q14+('12.1.Разходи-увелич.и нам.'!AC14+'12.1.Разходи-увелич.и нам.'!AD14)</f>
        <v>0</v>
      </c>
      <c r="T14" s="2423">
        <f>$Q14+('12.1.Разходи-увелич.и нам.'!AE14+'12.1.Разходи-увелич.и нам.'!AF14)</f>
        <v>0</v>
      </c>
      <c r="U14" s="2423">
        <f>$Q14+('12.1.Разходи-увелич.и нам.'!AG14+'12.1.Разходи-увелич.и нам.'!AH14)</f>
        <v>0</v>
      </c>
      <c r="V14" s="2423">
        <f>$Q14+('12.1.Разходи-увелич.и нам.'!AI14+'12.1.Разходи-увелич.и нам.'!AJ14)</f>
        <v>0</v>
      </c>
      <c r="W14" s="2424">
        <f>$Q14+('12.1.Разходи-увелич.и нам.'!AK14+'12.1.Разходи-увелич.и нам.'!AL14)</f>
        <v>0</v>
      </c>
      <c r="X14" s="2246">
        <v>0</v>
      </c>
      <c r="Y14" s="2246">
        <v>0</v>
      </c>
      <c r="Z14" s="795">
        <v>0</v>
      </c>
      <c r="AA14" s="782">
        <v>0</v>
      </c>
      <c r="AB14" s="782">
        <v>0</v>
      </c>
      <c r="AC14" s="782">
        <v>0</v>
      </c>
      <c r="AD14" s="791">
        <v>0</v>
      </c>
      <c r="AE14" s="358"/>
      <c r="AF14" s="379"/>
      <c r="AG14" s="359"/>
      <c r="AH14" s="359"/>
      <c r="AI14" s="358"/>
      <c r="AJ14" s="358"/>
      <c r="AK14" s="358"/>
      <c r="AL14" s="358"/>
      <c r="AM14" s="358"/>
    </row>
    <row r="15" spans="1:41" s="360" customFormat="1">
      <c r="A15" s="1081" t="s">
        <v>486</v>
      </c>
      <c r="B15" s="1035" t="s">
        <v>293</v>
      </c>
      <c r="C15" s="2801">
        <f>'12.1.Разходи-увелич.и нам.'!C15</f>
        <v>0</v>
      </c>
      <c r="D15" s="2422">
        <f>'12.1.Разходи-увелич.и нам.'!D15</f>
        <v>0</v>
      </c>
      <c r="E15" s="2423">
        <f>$C15+('12.1.Разходи-увелич.и нам.'!E15+'12.1.Разходи-увелич.и нам.'!F15)</f>
        <v>0</v>
      </c>
      <c r="F15" s="2423">
        <f>$C15+('12.1.Разходи-увелич.и нам.'!G15+'12.1.Разходи-увелич.и нам.'!H15)</f>
        <v>0</v>
      </c>
      <c r="G15" s="2423">
        <f>$C15+('12.1.Разходи-увелич.и нам.'!I15+'12.1.Разходи-увелич.и нам.'!J15)</f>
        <v>0</v>
      </c>
      <c r="H15" s="2423">
        <f>$C15+('12.1.Разходи-увелич.и нам.'!K15+'12.1.Разходи-увелич.и нам.'!L15)</f>
        <v>0</v>
      </c>
      <c r="I15" s="2424">
        <f>$C15+('12.1.Разходи-увелич.и нам.'!M15+'12.1.Разходи-увелич.и нам.'!N15)</f>
        <v>0</v>
      </c>
      <c r="J15" s="2425">
        <f>'12.1.Разходи-увелич.и нам.'!O15</f>
        <v>0</v>
      </c>
      <c r="K15" s="2422">
        <f>'12.1.Разходи-увелич.и нам.'!P15</f>
        <v>0</v>
      </c>
      <c r="L15" s="2423">
        <f>$J15+('12.1.Разходи-увелич.и нам.'!Q15+'12.1.Разходи-увелич.и нам.'!R15)</f>
        <v>0</v>
      </c>
      <c r="M15" s="2423">
        <f>$J15+('12.1.Разходи-увелич.и нам.'!S15+'12.1.Разходи-увелич.и нам.'!T15)</f>
        <v>0</v>
      </c>
      <c r="N15" s="2423">
        <f>$J15+('12.1.Разходи-увелич.и нам.'!U15+'12.1.Разходи-увелич.и нам.'!V15)</f>
        <v>0</v>
      </c>
      <c r="O15" s="2423">
        <f>$J15+('12.1.Разходи-увелич.и нам.'!W15+'12.1.Разходи-увелич.и нам.'!X15)</f>
        <v>0</v>
      </c>
      <c r="P15" s="2424">
        <f>$J15+('12.1.Разходи-увелич.и нам.'!Y15+'12.1.Разходи-увелич.и нам.'!Z15)</f>
        <v>0</v>
      </c>
      <c r="Q15" s="2425">
        <f>'12.1.Разходи-увелич.и нам.'!AA15</f>
        <v>4</v>
      </c>
      <c r="R15" s="2426">
        <f>'12.1.Разходи-увелич.и нам.'!AB15</f>
        <v>0</v>
      </c>
      <c r="S15" s="2423">
        <f>$Q15+('12.1.Разходи-увелич.и нам.'!AC15+'12.1.Разходи-увелич.и нам.'!AD15)</f>
        <v>4</v>
      </c>
      <c r="T15" s="2423">
        <f>$Q15+('12.1.Разходи-увелич.и нам.'!AE15+'12.1.Разходи-увелич.и нам.'!AF15)</f>
        <v>7</v>
      </c>
      <c r="U15" s="2423">
        <f>$Q15+('12.1.Разходи-увелич.и нам.'!AG15+'12.1.Разходи-увелич.и нам.'!AH15)</f>
        <v>7</v>
      </c>
      <c r="V15" s="2423">
        <f>$Q15+('12.1.Разходи-увелич.и нам.'!AI15+'12.1.Разходи-увелич.и нам.'!AJ15)</f>
        <v>7</v>
      </c>
      <c r="W15" s="2424">
        <f>$Q15+('12.1.Разходи-увелич.и нам.'!AK15+'12.1.Разходи-увелич.и нам.'!AL15)</f>
        <v>7</v>
      </c>
      <c r="X15" s="2246">
        <v>0</v>
      </c>
      <c r="Y15" s="2246">
        <v>0</v>
      </c>
      <c r="Z15" s="795">
        <v>0</v>
      </c>
      <c r="AA15" s="782">
        <v>0</v>
      </c>
      <c r="AB15" s="782">
        <v>0</v>
      </c>
      <c r="AC15" s="782">
        <v>0</v>
      </c>
      <c r="AD15" s="791">
        <v>0</v>
      </c>
      <c r="AE15" s="358"/>
      <c r="AF15" s="379"/>
      <c r="AG15" s="359"/>
      <c r="AH15" s="359"/>
      <c r="AI15" s="358"/>
      <c r="AJ15" s="358"/>
      <c r="AK15" s="358"/>
      <c r="AL15" s="358"/>
      <c r="AM15" s="358"/>
    </row>
    <row r="16" spans="1:41" s="360" customFormat="1">
      <c r="A16" s="1081" t="s">
        <v>487</v>
      </c>
      <c r="B16" s="1035" t="s">
        <v>294</v>
      </c>
      <c r="C16" s="2801">
        <f>'12.1.Разходи-увелич.и нам.'!C16</f>
        <v>0</v>
      </c>
      <c r="D16" s="2422">
        <f>'12.1.Разходи-увелич.и нам.'!D16</f>
        <v>0</v>
      </c>
      <c r="E16" s="2423">
        <f>$C16+('12.1.Разходи-увелич.и нам.'!E16+'12.1.Разходи-увелич.и нам.'!F16)</f>
        <v>0</v>
      </c>
      <c r="F16" s="2423">
        <f>$C16+('12.1.Разходи-увелич.и нам.'!G16+'12.1.Разходи-увелич.и нам.'!H16)</f>
        <v>0</v>
      </c>
      <c r="G16" s="2423">
        <f>$C16+('12.1.Разходи-увелич.и нам.'!I16+'12.1.Разходи-увелич.и нам.'!J16)</f>
        <v>0</v>
      </c>
      <c r="H16" s="2423">
        <f>$C16+('12.1.Разходи-увелич.и нам.'!K16+'12.1.Разходи-увелич.и нам.'!L16)</f>
        <v>0</v>
      </c>
      <c r="I16" s="2424">
        <f>$C16+('12.1.Разходи-увелич.и нам.'!M16+'12.1.Разходи-увелич.и нам.'!N16)</f>
        <v>0</v>
      </c>
      <c r="J16" s="2425">
        <f>'12.1.Разходи-увелич.и нам.'!O16</f>
        <v>0</v>
      </c>
      <c r="K16" s="2422">
        <f>'12.1.Разходи-увелич.и нам.'!P16</f>
        <v>0</v>
      </c>
      <c r="L16" s="2423">
        <f>$J16+('12.1.Разходи-увелич.и нам.'!Q16+'12.1.Разходи-увелич.и нам.'!R16)</f>
        <v>0</v>
      </c>
      <c r="M16" s="2423">
        <f>$J16+('12.1.Разходи-увелич.и нам.'!S16+'12.1.Разходи-увелич.и нам.'!T16)</f>
        <v>0</v>
      </c>
      <c r="N16" s="2423">
        <f>$J16+('12.1.Разходи-увелич.и нам.'!U16+'12.1.Разходи-увелич.и нам.'!V16)</f>
        <v>0</v>
      </c>
      <c r="O16" s="2423">
        <f>$J16+('12.1.Разходи-увелич.и нам.'!W16+'12.1.Разходи-увелич.и нам.'!X16)</f>
        <v>0</v>
      </c>
      <c r="P16" s="2424">
        <f>$J16+('12.1.Разходи-увелич.и нам.'!Y16+'12.1.Разходи-увелич.и нам.'!Z16)</f>
        <v>0</v>
      </c>
      <c r="Q16" s="2425">
        <f>'12.1.Разходи-увелич.и нам.'!AA16</f>
        <v>9</v>
      </c>
      <c r="R16" s="2426">
        <f>'12.1.Разходи-увелич.и нам.'!AB16</f>
        <v>9</v>
      </c>
      <c r="S16" s="2423">
        <f>$Q16+('12.1.Разходи-увелич.и нам.'!AC16+'12.1.Разходи-увелич.и нам.'!AD16)</f>
        <v>24</v>
      </c>
      <c r="T16" s="2423">
        <f>$Q16+('12.1.Разходи-увелич.и нам.'!AE16+'12.1.Разходи-увелич.и нам.'!AF16)</f>
        <v>24</v>
      </c>
      <c r="U16" s="2423">
        <f>$Q16+('12.1.Разходи-увелич.и нам.'!AG16+'12.1.Разходи-увелич.и нам.'!AH16)</f>
        <v>24</v>
      </c>
      <c r="V16" s="2423">
        <f>$Q16+('12.1.Разходи-увелич.и нам.'!AI16+'12.1.Разходи-увелич.и нам.'!AJ16)</f>
        <v>24</v>
      </c>
      <c r="W16" s="2424">
        <f>$Q16+('12.1.Разходи-увелич.и нам.'!AK16+'12.1.Разходи-увелич.и нам.'!AL16)</f>
        <v>24</v>
      </c>
      <c r="X16" s="2246">
        <v>0</v>
      </c>
      <c r="Y16" s="2246">
        <v>0</v>
      </c>
      <c r="Z16" s="795">
        <v>0</v>
      </c>
      <c r="AA16" s="782">
        <v>0</v>
      </c>
      <c r="AB16" s="782">
        <v>0</v>
      </c>
      <c r="AC16" s="782">
        <v>0</v>
      </c>
      <c r="AD16" s="791">
        <v>0</v>
      </c>
      <c r="AE16" s="358"/>
      <c r="AF16" s="379"/>
      <c r="AG16" s="359"/>
      <c r="AH16" s="359"/>
      <c r="AI16" s="358"/>
      <c r="AJ16" s="358"/>
      <c r="AK16" s="358"/>
      <c r="AL16" s="358"/>
      <c r="AM16" s="358"/>
    </row>
    <row r="17" spans="1:39" s="294" customFormat="1">
      <c r="A17" s="1031" t="s">
        <v>99</v>
      </c>
      <c r="B17" s="1036" t="s">
        <v>295</v>
      </c>
      <c r="C17" s="2801">
        <f>'12.1.Разходи-увелич.и нам.'!C17</f>
        <v>1666</v>
      </c>
      <c r="D17" s="2422">
        <f>'12.1.Разходи-увелич.и нам.'!D17</f>
        <v>1662</v>
      </c>
      <c r="E17" s="2423">
        <f>$C17+('12.1.Разходи-увелич.и нам.'!E17+'12.1.Разходи-увелич.и нам.'!F17)</f>
        <v>1642</v>
      </c>
      <c r="F17" s="2423">
        <f>$C17+('12.1.Разходи-увелич.и нам.'!G17+'12.1.Разходи-увелич.и нам.'!H17)</f>
        <v>1642</v>
      </c>
      <c r="G17" s="2423">
        <f>$C17+('12.1.Разходи-увелич.и нам.'!I17+'12.1.Разходи-увелич.и нам.'!J17)</f>
        <v>1642</v>
      </c>
      <c r="H17" s="2423">
        <f>$C17+('12.1.Разходи-увелич.и нам.'!K17+'12.1.Разходи-увелич.и нам.'!L17)</f>
        <v>1642</v>
      </c>
      <c r="I17" s="2424">
        <f>$C17+('12.1.Разходи-увелич.и нам.'!M17+'12.1.Разходи-увелич.и нам.'!N17)</f>
        <v>1642</v>
      </c>
      <c r="J17" s="2425">
        <f>'12.1.Разходи-увелич.и нам.'!O17</f>
        <v>24</v>
      </c>
      <c r="K17" s="2422">
        <f>'12.1.Разходи-увелич.и нам.'!P17</f>
        <v>32</v>
      </c>
      <c r="L17" s="2423">
        <f>$J17+('12.1.Разходи-увелич.и нам.'!Q17+'12.1.Разходи-увелич.и нам.'!R17)</f>
        <v>27.5</v>
      </c>
      <c r="M17" s="2423">
        <f>$J17+('12.1.Разходи-увелич.и нам.'!S17+'12.1.Разходи-увелич.и нам.'!T17)</f>
        <v>27.5</v>
      </c>
      <c r="N17" s="2423">
        <f>$J17+('12.1.Разходи-увелич.и нам.'!U17+'12.1.Разходи-увелич.и нам.'!V17)</f>
        <v>28</v>
      </c>
      <c r="O17" s="2423">
        <f>$J17+('12.1.Разходи-увелич.и нам.'!W17+'12.1.Разходи-увелич.и нам.'!X17)</f>
        <v>27.5</v>
      </c>
      <c r="P17" s="2424">
        <f>$J17+('12.1.Разходи-увелич.и нам.'!Y17+'12.1.Разходи-увелич.и нам.'!Z17)</f>
        <v>27.5</v>
      </c>
      <c r="Q17" s="2425">
        <f>'12.1.Разходи-увелич.и нам.'!AA17</f>
        <v>367</v>
      </c>
      <c r="R17" s="2426">
        <f>'12.1.Разходи-увелич.и нам.'!AB17</f>
        <v>340</v>
      </c>
      <c r="S17" s="2423">
        <f>$Q17+('12.1.Разходи-увелич.и нам.'!AC17+'12.1.Разходи-увелич.и нам.'!AD17)</f>
        <v>415</v>
      </c>
      <c r="T17" s="2423">
        <f>$Q17+('12.1.Разходи-увелич.и нам.'!AE17+'12.1.Разходи-увелич.и нам.'!AF17)</f>
        <v>415</v>
      </c>
      <c r="U17" s="2423">
        <f>$Q17+('12.1.Разходи-увелич.и нам.'!AG17+'12.1.Разходи-увелич.и нам.'!AH17)</f>
        <v>415</v>
      </c>
      <c r="V17" s="2423">
        <f>$Q17+('12.1.Разходи-увелич.и нам.'!AI17+'12.1.Разходи-увелич.и нам.'!AJ17)</f>
        <v>415</v>
      </c>
      <c r="W17" s="2424">
        <f>$Q17+('12.1.Разходи-увелич.и нам.'!AK17+'12.1.Разходи-увелич.и нам.'!AL17)</f>
        <v>415</v>
      </c>
      <c r="X17" s="2427">
        <f>'6. Ел.Енергия'!J52</f>
        <v>36.07</v>
      </c>
      <c r="Y17" s="2427">
        <f>'6. Ел.Енергия'!K52</f>
        <v>27</v>
      </c>
      <c r="Z17" s="2885">
        <f>'6. Ел.Енергия'!L52</f>
        <v>36.630000000000003</v>
      </c>
      <c r="AA17" s="2886">
        <f>'6. Ел.Енергия'!M52</f>
        <v>36.630000000000003</v>
      </c>
      <c r="AB17" s="2886">
        <f>'6. Ел.Енергия'!N52</f>
        <v>36.630000000000003</v>
      </c>
      <c r="AC17" s="2886">
        <f>'6. Ел.Енергия'!O52</f>
        <v>36.630000000000003</v>
      </c>
      <c r="AD17" s="2887">
        <f>'6. Ел.Енергия'!P52</f>
        <v>36.630000000000003</v>
      </c>
      <c r="AE17" s="352"/>
      <c r="AF17" s="378"/>
      <c r="AG17" s="298"/>
      <c r="AH17" s="298"/>
      <c r="AI17" s="352"/>
      <c r="AJ17" s="352"/>
      <c r="AK17" s="352"/>
      <c r="AL17" s="352"/>
      <c r="AM17" s="352"/>
    </row>
    <row r="18" spans="1:39">
      <c r="A18" s="1037" t="s">
        <v>101</v>
      </c>
      <c r="B18" s="1038" t="s">
        <v>296</v>
      </c>
      <c r="C18" s="1088">
        <f>SUM(C19:C20)</f>
        <v>369</v>
      </c>
      <c r="D18" s="1082">
        <f>SUM(D19:D20)</f>
        <v>433</v>
      </c>
      <c r="E18" s="1083">
        <f t="shared" ref="E18:AD18" si="4">SUM(E19:E20)</f>
        <v>369</v>
      </c>
      <c r="F18" s="1084">
        <f t="shared" si="4"/>
        <v>369</v>
      </c>
      <c r="G18" s="1084">
        <f t="shared" si="4"/>
        <v>392</v>
      </c>
      <c r="H18" s="1084">
        <f t="shared" si="4"/>
        <v>369</v>
      </c>
      <c r="I18" s="1085">
        <f t="shared" si="4"/>
        <v>369</v>
      </c>
      <c r="J18" s="1088">
        <f t="shared" si="4"/>
        <v>27</v>
      </c>
      <c r="K18" s="1082">
        <f t="shared" si="4"/>
        <v>29</v>
      </c>
      <c r="L18" s="1086">
        <f t="shared" si="4"/>
        <v>27</v>
      </c>
      <c r="M18" s="1084">
        <f t="shared" si="4"/>
        <v>27</v>
      </c>
      <c r="N18" s="1084">
        <f t="shared" si="4"/>
        <v>27</v>
      </c>
      <c r="O18" s="1087">
        <f t="shared" si="4"/>
        <v>27</v>
      </c>
      <c r="P18" s="1085">
        <f t="shared" si="4"/>
        <v>27</v>
      </c>
      <c r="Q18" s="1088">
        <f t="shared" si="4"/>
        <v>17</v>
      </c>
      <c r="R18" s="1082">
        <f t="shared" si="4"/>
        <v>15</v>
      </c>
      <c r="S18" s="1083">
        <f t="shared" si="4"/>
        <v>17</v>
      </c>
      <c r="T18" s="1084">
        <f t="shared" si="4"/>
        <v>32</v>
      </c>
      <c r="U18" s="1084">
        <f t="shared" si="4"/>
        <v>32</v>
      </c>
      <c r="V18" s="1087">
        <f t="shared" si="4"/>
        <v>32</v>
      </c>
      <c r="W18" s="1085">
        <f t="shared" si="4"/>
        <v>32</v>
      </c>
      <c r="X18" s="1082">
        <f t="shared" si="4"/>
        <v>9</v>
      </c>
      <c r="Y18" s="1082">
        <f t="shared" si="4"/>
        <v>11</v>
      </c>
      <c r="Z18" s="1086">
        <f t="shared" si="4"/>
        <v>11</v>
      </c>
      <c r="AA18" s="1084">
        <f t="shared" si="4"/>
        <v>11</v>
      </c>
      <c r="AB18" s="1084">
        <f t="shared" si="4"/>
        <v>11</v>
      </c>
      <c r="AC18" s="1087">
        <f t="shared" si="4"/>
        <v>11</v>
      </c>
      <c r="AD18" s="1085">
        <f t="shared" si="4"/>
        <v>11</v>
      </c>
      <c r="AF18" s="378"/>
      <c r="AG18" s="298"/>
      <c r="AH18" s="298"/>
    </row>
    <row r="19" spans="1:39" s="360" customFormat="1">
      <c r="A19" s="1050" t="s">
        <v>297</v>
      </c>
      <c r="B19" s="1042" t="s">
        <v>298</v>
      </c>
      <c r="C19" s="2801">
        <f>'12.1.Разходи-увелич.и нам.'!C19</f>
        <v>26</v>
      </c>
      <c r="D19" s="2422">
        <f>'12.1.Разходи-увелич.и нам.'!D19</f>
        <v>19</v>
      </c>
      <c r="E19" s="2423">
        <f>$C19+('12.1.Разходи-увелич.и нам.'!E19+'12.1.Разходи-увелич.и нам.'!F19)</f>
        <v>26</v>
      </c>
      <c r="F19" s="2423">
        <f>$C19+('12.1.Разходи-увелич.и нам.'!G19+'12.1.Разходи-увелич.и нам.'!H19)</f>
        <v>26</v>
      </c>
      <c r="G19" s="2423">
        <f>$C19+('12.1.Разходи-увелич.и нам.'!I19+'12.1.Разходи-увелич.и нам.'!J19)</f>
        <v>26</v>
      </c>
      <c r="H19" s="2423">
        <f>$C19+('12.1.Разходи-увелич.и нам.'!K19+'12.1.Разходи-увелич.и нам.'!L19)</f>
        <v>26</v>
      </c>
      <c r="I19" s="2424">
        <f>$C19+('12.1.Разходи-увелич.и нам.'!M19+'12.1.Разходи-увелич.и нам.'!N19)</f>
        <v>26</v>
      </c>
      <c r="J19" s="2425">
        <f>'12.1.Разходи-увелич.и нам.'!O19</f>
        <v>0</v>
      </c>
      <c r="K19" s="2422">
        <f>'12.1.Разходи-увелич.и нам.'!P19</f>
        <v>0</v>
      </c>
      <c r="L19" s="2423">
        <f>$J19+('12.1.Разходи-увелич.и нам.'!Q19+'12.1.Разходи-увелич.и нам.'!R19)</f>
        <v>0</v>
      </c>
      <c r="M19" s="2423">
        <f>$J19+('12.1.Разходи-увелич.и нам.'!S19+'12.1.Разходи-увелич.и нам.'!T19)</f>
        <v>0</v>
      </c>
      <c r="N19" s="2423">
        <f>$J19+('12.1.Разходи-увелич.и нам.'!U19+'12.1.Разходи-увелич.и нам.'!V19)</f>
        <v>0</v>
      </c>
      <c r="O19" s="2423">
        <f>$J19+('12.1.Разходи-увелич.и нам.'!W19+'12.1.Разходи-увелич.и нам.'!X19)</f>
        <v>0</v>
      </c>
      <c r="P19" s="2424">
        <f>$J19+('12.1.Разходи-увелич.и нам.'!Y19+'12.1.Разходи-увелич.и нам.'!Z19)</f>
        <v>0</v>
      </c>
      <c r="Q19" s="2425">
        <f>'12.1.Разходи-увелич.и нам.'!AA19</f>
        <v>4</v>
      </c>
      <c r="R19" s="2426">
        <f>'12.1.Разходи-увелич.и нам.'!AB19</f>
        <v>6</v>
      </c>
      <c r="S19" s="2423">
        <f>$Q19+('12.1.Разходи-увелич.и нам.'!AC19+'12.1.Разходи-увелич.и нам.'!AD19)</f>
        <v>4</v>
      </c>
      <c r="T19" s="2423">
        <f>$Q19+('12.1.Разходи-увелич.и нам.'!AE19+'12.1.Разходи-увелич.и нам.'!AF19)</f>
        <v>4</v>
      </c>
      <c r="U19" s="2423">
        <f>$Q19+('12.1.Разходи-увелич.и нам.'!AG19+'12.1.Разходи-увелич.и нам.'!AH19)</f>
        <v>4</v>
      </c>
      <c r="V19" s="2423">
        <f>$Q19+('12.1.Разходи-увелич.и нам.'!AI19+'12.1.Разходи-увелич.и нам.'!AJ19)</f>
        <v>4</v>
      </c>
      <c r="W19" s="2424">
        <f>$Q19+('12.1.Разходи-увелич.и нам.'!AK19+'12.1.Разходи-увелич.и нам.'!AL19)</f>
        <v>4</v>
      </c>
      <c r="X19" s="2246">
        <v>0</v>
      </c>
      <c r="Y19" s="2246">
        <v>0</v>
      </c>
      <c r="Z19" s="795">
        <v>0</v>
      </c>
      <c r="AA19" s="782">
        <v>0</v>
      </c>
      <c r="AB19" s="782">
        <v>0</v>
      </c>
      <c r="AC19" s="782">
        <v>0</v>
      </c>
      <c r="AD19" s="791">
        <v>0</v>
      </c>
      <c r="AE19" s="358"/>
      <c r="AF19" s="379"/>
      <c r="AG19" s="359"/>
      <c r="AH19" s="359"/>
      <c r="AI19" s="358"/>
      <c r="AJ19" s="358"/>
      <c r="AK19" s="358"/>
      <c r="AL19" s="358"/>
      <c r="AM19" s="358"/>
    </row>
    <row r="20" spans="1:39" s="360" customFormat="1">
      <c r="A20" s="1050" t="s">
        <v>608</v>
      </c>
      <c r="B20" s="1042" t="s">
        <v>299</v>
      </c>
      <c r="C20" s="2801">
        <f>'12.1.Разходи-увелич.и нам.'!C20</f>
        <v>343</v>
      </c>
      <c r="D20" s="2422">
        <f>'12.1.Разходи-увелич.и нам.'!D20</f>
        <v>414</v>
      </c>
      <c r="E20" s="2423">
        <f>$C20+('12.1.Разходи-увелич.и нам.'!E20+'12.1.Разходи-увелич.и нам.'!F20)</f>
        <v>343</v>
      </c>
      <c r="F20" s="2423">
        <f>$C20+('12.1.Разходи-увелич.и нам.'!G20+'12.1.Разходи-увелич.и нам.'!H20)</f>
        <v>343</v>
      </c>
      <c r="G20" s="2423">
        <f>$C20+('12.1.Разходи-увелич.и нам.'!I20+'12.1.Разходи-увелич.и нам.'!J20)</f>
        <v>366</v>
      </c>
      <c r="H20" s="2423">
        <f>$C20+('12.1.Разходи-увелич.и нам.'!K20+'12.1.Разходи-увелич.и нам.'!L20)</f>
        <v>343</v>
      </c>
      <c r="I20" s="2424">
        <f>$C20+('12.1.Разходи-увелич.и нам.'!M20+'12.1.Разходи-увелич.и нам.'!N20)</f>
        <v>343</v>
      </c>
      <c r="J20" s="2425">
        <f>'12.1.Разходи-увелич.и нам.'!O20</f>
        <v>27</v>
      </c>
      <c r="K20" s="2422">
        <f>'12.1.Разходи-увелич.и нам.'!P20</f>
        <v>29</v>
      </c>
      <c r="L20" s="2423">
        <f>$J20+('12.1.Разходи-увелич.и нам.'!Q20+'12.1.Разходи-увелич.и нам.'!R20)</f>
        <v>27</v>
      </c>
      <c r="M20" s="2423">
        <f>$J20+('12.1.Разходи-увелич.и нам.'!S20+'12.1.Разходи-увелич.и нам.'!T20)</f>
        <v>27</v>
      </c>
      <c r="N20" s="2423">
        <f>$J20+('12.1.Разходи-увелич.и нам.'!U20+'12.1.Разходи-увелич.и нам.'!V20)</f>
        <v>27</v>
      </c>
      <c r="O20" s="2423">
        <f>$J20+('12.1.Разходи-увелич.и нам.'!W20+'12.1.Разходи-увелич.и нам.'!X20)</f>
        <v>27</v>
      </c>
      <c r="P20" s="2424">
        <f>$J20+('12.1.Разходи-увелич.и нам.'!Y20+'12.1.Разходи-увелич.и нам.'!Z20)</f>
        <v>27</v>
      </c>
      <c r="Q20" s="2425">
        <f>'12.1.Разходи-увелич.и нам.'!AA20</f>
        <v>13</v>
      </c>
      <c r="R20" s="2426">
        <f>'12.1.Разходи-увелич.и нам.'!AB20</f>
        <v>9</v>
      </c>
      <c r="S20" s="2423">
        <f>$Q20+('12.1.Разходи-увелич.и нам.'!AC20+'12.1.Разходи-увелич.и нам.'!AD20)</f>
        <v>13</v>
      </c>
      <c r="T20" s="2423">
        <f>$Q20+('12.1.Разходи-увелич.и нам.'!AE20+'12.1.Разходи-увелич.и нам.'!AF20)</f>
        <v>28</v>
      </c>
      <c r="U20" s="2423">
        <f>$Q20+('12.1.Разходи-увелич.и нам.'!AG20+'12.1.Разходи-увелич.и нам.'!AH20)</f>
        <v>28</v>
      </c>
      <c r="V20" s="2423">
        <f>$Q20+('12.1.Разходи-увелич.и нам.'!AI20+'12.1.Разходи-увелич.и нам.'!AJ20)</f>
        <v>28</v>
      </c>
      <c r="W20" s="2424">
        <f>$Q20+('12.1.Разходи-увелич.и нам.'!AK20+'12.1.Разходи-увелич.и нам.'!AL20)</f>
        <v>28</v>
      </c>
      <c r="X20" s="2246">
        <v>9</v>
      </c>
      <c r="Y20" s="2246">
        <v>11</v>
      </c>
      <c r="Z20" s="795">
        <v>11</v>
      </c>
      <c r="AA20" s="782">
        <v>11</v>
      </c>
      <c r="AB20" s="782">
        <v>11</v>
      </c>
      <c r="AC20" s="782">
        <v>11</v>
      </c>
      <c r="AD20" s="791">
        <v>11</v>
      </c>
      <c r="AE20" s="358"/>
      <c r="AF20" s="379"/>
      <c r="AG20" s="359"/>
      <c r="AH20" s="359"/>
      <c r="AI20" s="358"/>
      <c r="AJ20" s="358"/>
      <c r="AK20" s="358"/>
      <c r="AL20" s="358"/>
      <c r="AM20" s="358"/>
    </row>
    <row r="21" spans="1:39">
      <c r="A21" s="1037" t="s">
        <v>197</v>
      </c>
      <c r="B21" s="1038" t="s">
        <v>300</v>
      </c>
      <c r="C21" s="2425">
        <f>'12.1.Разходи-увелич.и нам.'!C21</f>
        <v>80</v>
      </c>
      <c r="D21" s="2427">
        <f>'12.1.Разходи-увелич.и нам.'!D21</f>
        <v>85</v>
      </c>
      <c r="E21" s="2428">
        <f>$C21+('12.1.Разходи-увелич.и нам.'!E21+'12.1.Разходи-увелич.и нам.'!F21)</f>
        <v>80</v>
      </c>
      <c r="F21" s="2428">
        <f>$C21+('12.1.Разходи-увелич.и нам.'!G21+'12.1.Разходи-увелич.и нам.'!H21)</f>
        <v>80</v>
      </c>
      <c r="G21" s="2428">
        <f>$C21+('12.1.Разходи-увелич.и нам.'!I21+'12.1.Разходи-увелич.и нам.'!J21)</f>
        <v>80</v>
      </c>
      <c r="H21" s="2428">
        <f>$C21+('12.1.Разходи-увелич.и нам.'!K21+'12.1.Разходи-увелич.и нам.'!L21)</f>
        <v>80</v>
      </c>
      <c r="I21" s="1497">
        <f>$C21+('12.1.Разходи-увелич.и нам.'!M21+'12.1.Разходи-увелич.и нам.'!N21)</f>
        <v>80</v>
      </c>
      <c r="J21" s="2425">
        <f>'12.1.Разходи-увелич.и нам.'!O21</f>
        <v>2</v>
      </c>
      <c r="K21" s="2422">
        <f>'12.1.Разходи-увелич.и нам.'!P21</f>
        <v>1</v>
      </c>
      <c r="L21" s="2423">
        <f>$J21+('12.1.Разходи-увелич.и нам.'!Q21+'12.1.Разходи-увелич.и нам.'!R21)</f>
        <v>2</v>
      </c>
      <c r="M21" s="2423">
        <f>$J21+('12.1.Разходи-увелич.и нам.'!S21+'12.1.Разходи-увелич.и нам.'!T21)</f>
        <v>2</v>
      </c>
      <c r="N21" s="2423">
        <f>$J21+('12.1.Разходи-увелич.и нам.'!U21+'12.1.Разходи-увелич.и нам.'!V21)</f>
        <v>2</v>
      </c>
      <c r="O21" s="2423">
        <f>$J21+('12.1.Разходи-увелич.и нам.'!W21+'12.1.Разходи-увелич.и нам.'!X21)</f>
        <v>2</v>
      </c>
      <c r="P21" s="2424">
        <f>$J21+('12.1.Разходи-увелич.и нам.'!Y21+'12.1.Разходи-увелич.и нам.'!Z21)</f>
        <v>2</v>
      </c>
      <c r="Q21" s="2425">
        <f>'12.1.Разходи-увелич.и нам.'!AA21</f>
        <v>6</v>
      </c>
      <c r="R21" s="2426">
        <f>'12.1.Разходи-увелич.и нам.'!AB21</f>
        <v>5</v>
      </c>
      <c r="S21" s="2423">
        <f>$Q21+('12.1.Разходи-увелич.и нам.'!AC21+'12.1.Разходи-увелич.и нам.'!AD21)</f>
        <v>6</v>
      </c>
      <c r="T21" s="2423">
        <f>$Q21+('12.1.Разходи-увелич.и нам.'!AE21+'12.1.Разходи-увелич.и нам.'!AF21)</f>
        <v>6</v>
      </c>
      <c r="U21" s="2423">
        <f>$Q21+('12.1.Разходи-увелич.и нам.'!AG21+'12.1.Разходи-увелич.и нам.'!AH21)</f>
        <v>6</v>
      </c>
      <c r="V21" s="2423">
        <f>$Q21+('12.1.Разходи-увелич.и нам.'!AI21+'12.1.Разходи-увелич.и нам.'!AJ21)</f>
        <v>6</v>
      </c>
      <c r="W21" s="2424">
        <f>$Q21+('12.1.Разходи-увелич.и нам.'!AK21+'12.1.Разходи-увелич.и нам.'!AL21)</f>
        <v>6</v>
      </c>
      <c r="X21" s="2246">
        <v>2</v>
      </c>
      <c r="Y21" s="2246">
        <v>2</v>
      </c>
      <c r="Z21" s="795">
        <v>2</v>
      </c>
      <c r="AA21" s="782">
        <v>2</v>
      </c>
      <c r="AB21" s="782">
        <v>2</v>
      </c>
      <c r="AC21" s="782">
        <v>2</v>
      </c>
      <c r="AD21" s="791">
        <v>2</v>
      </c>
      <c r="AE21" s="361"/>
      <c r="AF21" s="378"/>
      <c r="AG21" s="298"/>
      <c r="AH21" s="298"/>
      <c r="AI21" s="361"/>
      <c r="AJ21" s="361"/>
      <c r="AK21" s="361"/>
      <c r="AL21" s="361"/>
      <c r="AM21" s="361"/>
    </row>
    <row r="22" spans="1:39">
      <c r="A22" s="1037" t="s">
        <v>199</v>
      </c>
      <c r="B22" s="1038" t="s">
        <v>301</v>
      </c>
      <c r="C22" s="2425">
        <f>'12.1.Разходи-увелич.и нам.'!C22</f>
        <v>26</v>
      </c>
      <c r="D22" s="2427">
        <f>'12.1.Разходи-увелич.и нам.'!D22</f>
        <v>39</v>
      </c>
      <c r="E22" s="2428">
        <f>$C22+('12.1.Разходи-увелич.и нам.'!E22+'12.1.Разходи-увелич.и нам.'!F22)</f>
        <v>26</v>
      </c>
      <c r="F22" s="2428">
        <f>$C22+('12.1.Разходи-увелич.и нам.'!G22+'12.1.Разходи-увелич.и нам.'!H22)</f>
        <v>26</v>
      </c>
      <c r="G22" s="2428">
        <f>$C22+('12.1.Разходи-увелич.и нам.'!I22+'12.1.Разходи-увелич.и нам.'!J22)</f>
        <v>26</v>
      </c>
      <c r="H22" s="2428">
        <f>$C22+('12.1.Разходи-увелич.и нам.'!K22+'12.1.Разходи-увелич.и нам.'!L22)</f>
        <v>26</v>
      </c>
      <c r="I22" s="1497">
        <f>$C22+('12.1.Разходи-увелич.и нам.'!M22+'12.1.Разходи-увелич.и нам.'!N22)</f>
        <v>26</v>
      </c>
      <c r="J22" s="2425">
        <f>'12.1.Разходи-увелич.и нам.'!O22</f>
        <v>2</v>
      </c>
      <c r="K22" s="2422">
        <f>'12.1.Разходи-увелич.и нам.'!P22</f>
        <v>2</v>
      </c>
      <c r="L22" s="2423">
        <f>$J22+('12.1.Разходи-увелич.и нам.'!Q22+'12.1.Разходи-увелич.и нам.'!R22)</f>
        <v>2</v>
      </c>
      <c r="M22" s="2423">
        <f>$J22+('12.1.Разходи-увелич.и нам.'!S22+'12.1.Разходи-увелич.и нам.'!T22)</f>
        <v>2</v>
      </c>
      <c r="N22" s="2423">
        <f>$J22+('12.1.Разходи-увелич.и нам.'!U22+'12.1.Разходи-увелич.и нам.'!V22)</f>
        <v>2</v>
      </c>
      <c r="O22" s="2423">
        <f>$J22+('12.1.Разходи-увелич.и нам.'!W22+'12.1.Разходи-увелич.и нам.'!X22)</f>
        <v>2</v>
      </c>
      <c r="P22" s="2424">
        <f>$J22+('12.1.Разходи-увелич.и нам.'!Y22+'12.1.Разходи-увелич.и нам.'!Z22)</f>
        <v>2</v>
      </c>
      <c r="Q22" s="2425">
        <f>'12.1.Разходи-увелич.и нам.'!AA22</f>
        <v>3</v>
      </c>
      <c r="R22" s="2426">
        <f>'12.1.Разходи-увелич.и нам.'!AB22</f>
        <v>3</v>
      </c>
      <c r="S22" s="2423">
        <f>$Q22+('12.1.Разходи-увелич.и нам.'!AC22+'12.1.Разходи-увелич.и нам.'!AD22)</f>
        <v>3</v>
      </c>
      <c r="T22" s="2423">
        <f>$Q22+('12.1.Разходи-увелич.и нам.'!AE22+'12.1.Разходи-увелич.и нам.'!AF22)</f>
        <v>3</v>
      </c>
      <c r="U22" s="2423">
        <f>$Q22+('12.1.Разходи-увелич.и нам.'!AG22+'12.1.Разходи-увелич.и нам.'!AH22)</f>
        <v>3</v>
      </c>
      <c r="V22" s="2423">
        <f>$Q22+('12.1.Разходи-увелич.и нам.'!AI22+'12.1.Разходи-увелич.и нам.'!AJ22)</f>
        <v>3</v>
      </c>
      <c r="W22" s="2424">
        <f>$Q22+('12.1.Разходи-увелич.и нам.'!AK22+'12.1.Разходи-увелич.и нам.'!AL22)</f>
        <v>3</v>
      </c>
      <c r="X22" s="2246">
        <v>1</v>
      </c>
      <c r="Y22" s="2246">
        <v>1</v>
      </c>
      <c r="Z22" s="795">
        <v>1</v>
      </c>
      <c r="AA22" s="782">
        <v>1</v>
      </c>
      <c r="AB22" s="782">
        <v>1</v>
      </c>
      <c r="AC22" s="782">
        <v>1</v>
      </c>
      <c r="AD22" s="791">
        <v>1</v>
      </c>
      <c r="AE22" s="361"/>
      <c r="AF22" s="378"/>
      <c r="AG22" s="298"/>
      <c r="AH22" s="298"/>
      <c r="AI22" s="361"/>
      <c r="AJ22" s="361"/>
      <c r="AK22" s="361"/>
      <c r="AL22" s="361"/>
      <c r="AM22" s="361"/>
    </row>
    <row r="23" spans="1:39">
      <c r="A23" s="1037" t="s">
        <v>201</v>
      </c>
      <c r="B23" s="1038" t="s">
        <v>860</v>
      </c>
      <c r="C23" s="2425">
        <f>'12.1.Разходи-увелич.и нам.'!C23</f>
        <v>615</v>
      </c>
      <c r="D23" s="2427">
        <f>'12.1.Разходи-увелич.и нам.'!D23</f>
        <v>615</v>
      </c>
      <c r="E23" s="2428">
        <f>$C23+('12.1.Разходи-увелич.и нам.'!E23+'12.1.Разходи-увелич.и нам.'!F23)</f>
        <v>615</v>
      </c>
      <c r="F23" s="2428">
        <f>$C23+('12.1.Разходи-увелич.и нам.'!G23+'12.1.Разходи-увелич.и нам.'!H23)</f>
        <v>615</v>
      </c>
      <c r="G23" s="2428">
        <f>$C23+('12.1.Разходи-увелич.и нам.'!I23+'12.1.Разходи-увелич.и нам.'!J23)</f>
        <v>615</v>
      </c>
      <c r="H23" s="2428">
        <f>$C23+('12.1.Разходи-увелич.и нам.'!K23+'12.1.Разходи-увелич.и нам.'!L23)</f>
        <v>615</v>
      </c>
      <c r="I23" s="1497">
        <f>$C23+('12.1.Разходи-увелич.и нам.'!M23+'12.1.Разходи-увелич.и нам.'!N23)</f>
        <v>615</v>
      </c>
      <c r="J23" s="2425">
        <f>'12.1.Разходи-увелич.и нам.'!O23</f>
        <v>14</v>
      </c>
      <c r="K23" s="2422">
        <f>'12.1.Разходи-увелич.и нам.'!P23</f>
        <v>16</v>
      </c>
      <c r="L23" s="2423">
        <f>$J23+('12.1.Разходи-увелич.и нам.'!Q23+'12.1.Разходи-увелич.и нам.'!R23)</f>
        <v>14</v>
      </c>
      <c r="M23" s="2423">
        <f>$J23+('12.1.Разходи-увелич.и нам.'!S23+'12.1.Разходи-увелич.и нам.'!T23)</f>
        <v>14</v>
      </c>
      <c r="N23" s="2423">
        <f>$J23+('12.1.Разходи-увелич.и нам.'!U23+'12.1.Разходи-увелич.и нам.'!V23)</f>
        <v>14</v>
      </c>
      <c r="O23" s="2423">
        <f>$J23+('12.1.Разходи-увелич.и нам.'!W23+'12.1.Разходи-увелич.и нам.'!X23)</f>
        <v>14</v>
      </c>
      <c r="P23" s="2424">
        <f>$J23+('12.1.Разходи-увелич.и нам.'!Y23+'12.1.Разходи-увелич.и нам.'!Z23)</f>
        <v>14</v>
      </c>
      <c r="Q23" s="2425">
        <f>'12.1.Разходи-увелич.и нам.'!AA23</f>
        <v>14</v>
      </c>
      <c r="R23" s="2426">
        <f>'12.1.Разходи-увелич.и нам.'!AB23</f>
        <v>59</v>
      </c>
      <c r="S23" s="2423">
        <f>$Q23+('12.1.Разходи-увелич.и нам.'!AC23+'12.1.Разходи-увелич.и нам.'!AD23)</f>
        <v>14</v>
      </c>
      <c r="T23" s="2423">
        <f>$Q23+('12.1.Разходи-увелич.и нам.'!AE23+'12.1.Разходи-увелич.и нам.'!AF23)</f>
        <v>49</v>
      </c>
      <c r="U23" s="2423">
        <f>$Q23+('12.1.Разходи-увелич.и нам.'!AG23+'12.1.Разходи-увелич.и нам.'!AH23)</f>
        <v>14</v>
      </c>
      <c r="V23" s="2423">
        <f>$Q23+('12.1.Разходи-увелич.и нам.'!AI23+'12.1.Разходи-увелич.и нам.'!AJ23)</f>
        <v>14</v>
      </c>
      <c r="W23" s="2424">
        <f>$Q23+('12.1.Разходи-увелич.и нам.'!AK23+'12.1.Разходи-увелич.и нам.'!AL23)</f>
        <v>14</v>
      </c>
      <c r="X23" s="2246">
        <v>13</v>
      </c>
      <c r="Y23" s="2246">
        <v>0</v>
      </c>
      <c r="Z23" s="795">
        <v>13</v>
      </c>
      <c r="AA23" s="782">
        <v>13</v>
      </c>
      <c r="AB23" s="782">
        <v>13</v>
      </c>
      <c r="AC23" s="782">
        <v>13</v>
      </c>
      <c r="AD23" s="791">
        <v>13</v>
      </c>
      <c r="AE23" s="361"/>
      <c r="AF23" s="378"/>
      <c r="AG23" s="298"/>
      <c r="AH23" s="298"/>
      <c r="AI23" s="361"/>
      <c r="AJ23" s="361"/>
      <c r="AK23" s="361"/>
      <c r="AL23" s="361"/>
      <c r="AM23" s="361"/>
    </row>
    <row r="24" spans="1:39">
      <c r="A24" s="1037" t="s">
        <v>203</v>
      </c>
      <c r="B24" s="1038" t="s">
        <v>609</v>
      </c>
      <c r="C24" s="1088">
        <f>SUM(C25:C27)</f>
        <v>94</v>
      </c>
      <c r="D24" s="1082">
        <f t="shared" ref="D24:AD24" si="5">SUM(D25:D27)</f>
        <v>129</v>
      </c>
      <c r="E24" s="1083">
        <f t="shared" si="5"/>
        <v>94</v>
      </c>
      <c r="F24" s="1084">
        <f t="shared" si="5"/>
        <v>94</v>
      </c>
      <c r="G24" s="1084">
        <f t="shared" si="5"/>
        <v>94</v>
      </c>
      <c r="H24" s="1084">
        <f t="shared" si="5"/>
        <v>94</v>
      </c>
      <c r="I24" s="1085">
        <f t="shared" si="5"/>
        <v>94</v>
      </c>
      <c r="J24" s="1088">
        <f t="shared" si="5"/>
        <v>4</v>
      </c>
      <c r="K24" s="1082">
        <f t="shared" si="5"/>
        <v>4</v>
      </c>
      <c r="L24" s="1083">
        <f t="shared" si="5"/>
        <v>4</v>
      </c>
      <c r="M24" s="1084">
        <f t="shared" si="5"/>
        <v>4</v>
      </c>
      <c r="N24" s="1084">
        <f t="shared" si="5"/>
        <v>4</v>
      </c>
      <c r="O24" s="1084">
        <f t="shared" si="5"/>
        <v>4</v>
      </c>
      <c r="P24" s="1085">
        <f t="shared" si="5"/>
        <v>4</v>
      </c>
      <c r="Q24" s="1088">
        <f t="shared" si="5"/>
        <v>15</v>
      </c>
      <c r="R24" s="1082">
        <f t="shared" si="5"/>
        <v>7</v>
      </c>
      <c r="S24" s="1083">
        <f t="shared" si="5"/>
        <v>15</v>
      </c>
      <c r="T24" s="1084">
        <f t="shared" si="5"/>
        <v>15</v>
      </c>
      <c r="U24" s="1084">
        <f t="shared" si="5"/>
        <v>15</v>
      </c>
      <c r="V24" s="1084">
        <f t="shared" si="5"/>
        <v>15</v>
      </c>
      <c r="W24" s="1085">
        <f t="shared" si="5"/>
        <v>15</v>
      </c>
      <c r="X24" s="1082">
        <f t="shared" si="5"/>
        <v>1007</v>
      </c>
      <c r="Y24" s="1082">
        <f t="shared" si="5"/>
        <v>1011</v>
      </c>
      <c r="Z24" s="1083">
        <f t="shared" si="5"/>
        <v>981</v>
      </c>
      <c r="AA24" s="1084">
        <f t="shared" si="5"/>
        <v>984</v>
      </c>
      <c r="AB24" s="1084">
        <f t="shared" si="5"/>
        <v>986</v>
      </c>
      <c r="AC24" s="1084">
        <f t="shared" si="5"/>
        <v>991</v>
      </c>
      <c r="AD24" s="1085">
        <f t="shared" si="5"/>
        <v>996</v>
      </c>
      <c r="AE24" s="361"/>
      <c r="AF24" s="378"/>
      <c r="AG24" s="298"/>
      <c r="AH24" s="298"/>
      <c r="AI24" s="361"/>
      <c r="AJ24" s="361"/>
      <c r="AK24" s="361"/>
      <c r="AL24" s="361"/>
      <c r="AM24" s="361"/>
    </row>
    <row r="25" spans="1:39">
      <c r="A25" s="1037" t="s">
        <v>610</v>
      </c>
      <c r="B25" s="782" t="s">
        <v>1566</v>
      </c>
      <c r="C25" s="2801">
        <f>'12.1.Разходи-увелич.и нам.'!C25</f>
        <v>4</v>
      </c>
      <c r="D25" s="2422">
        <f>'12.1.Разходи-увелич.и нам.'!D25</f>
        <v>5</v>
      </c>
      <c r="E25" s="2423">
        <f>$C25+('12.1.Разходи-увелич.и нам.'!E25+'12.1.Разходи-увелич.и нам.'!F25)</f>
        <v>4</v>
      </c>
      <c r="F25" s="2423">
        <f>$C25+('12.1.Разходи-увелич.и нам.'!G25+'12.1.Разходи-увелич.и нам.'!H25)</f>
        <v>4</v>
      </c>
      <c r="G25" s="2423">
        <f>$C25+('12.1.Разходи-увелич.и нам.'!I25+'12.1.Разходи-увелич.и нам.'!J25)</f>
        <v>4</v>
      </c>
      <c r="H25" s="2423">
        <f>$C25+('12.1.Разходи-увелич.и нам.'!K25+'12.1.Разходи-увелич.и нам.'!L25)</f>
        <v>4</v>
      </c>
      <c r="I25" s="2424">
        <f>$C25+('12.1.Разходи-увелич.и нам.'!M25+'12.1.Разходи-увелич.и нам.'!N25)</f>
        <v>4</v>
      </c>
      <c r="J25" s="2425">
        <f>'12.1.Разходи-увелич.и нам.'!O25</f>
        <v>1</v>
      </c>
      <c r="K25" s="2422">
        <f>'12.1.Разходи-увелич.и нам.'!P25</f>
        <v>1</v>
      </c>
      <c r="L25" s="2423">
        <f>$J25+('12.1.Разходи-увелич.и нам.'!Q25+'12.1.Разходи-увелич.и нам.'!R25)</f>
        <v>1</v>
      </c>
      <c r="M25" s="2423">
        <f>$J25+('12.1.Разходи-увелич.и нам.'!S25+'12.1.Разходи-увелич.и нам.'!T25)</f>
        <v>1</v>
      </c>
      <c r="N25" s="2423">
        <f>$J25+('12.1.Разходи-увелич.и нам.'!U25+'12.1.Разходи-увелич.и нам.'!V25)</f>
        <v>1</v>
      </c>
      <c r="O25" s="2423">
        <f>$J25+('12.1.Разходи-увелич.и нам.'!W25+'12.1.Разходи-увелич.и нам.'!X25)</f>
        <v>1</v>
      </c>
      <c r="P25" s="2424">
        <f>$J25+('12.1.Разходи-увелич.и нам.'!Y25+'12.1.Разходи-увелич.и нам.'!Z25)</f>
        <v>1</v>
      </c>
      <c r="Q25" s="2425">
        <f>'12.1.Разходи-увелич.и нам.'!AA25</f>
        <v>4</v>
      </c>
      <c r="R25" s="2426">
        <f>'12.1.Разходи-увелич.и нам.'!AB25</f>
        <v>1</v>
      </c>
      <c r="S25" s="2423">
        <f>$Q25+('12.1.Разходи-увелич.и нам.'!AC25+'12.1.Разходи-увелич.и нам.'!AD25)</f>
        <v>4</v>
      </c>
      <c r="T25" s="2423">
        <f>$Q25+('12.1.Разходи-увелич.и нам.'!AE25+'12.1.Разходи-увелич.и нам.'!AF25)</f>
        <v>4</v>
      </c>
      <c r="U25" s="2423">
        <f>$Q25+('12.1.Разходи-увелич.и нам.'!AG25+'12.1.Разходи-увелич.и нам.'!AH25)</f>
        <v>4</v>
      </c>
      <c r="V25" s="2423">
        <f>$Q25+('12.1.Разходи-увелич.и нам.'!AI25+'12.1.Разходи-увелич.и нам.'!AJ25)</f>
        <v>4</v>
      </c>
      <c r="W25" s="2424">
        <f>$Q25+('12.1.Разходи-увелич.и нам.'!AK25+'12.1.Разходи-увелич.и нам.'!AL25)</f>
        <v>4</v>
      </c>
      <c r="X25" s="2246">
        <v>1</v>
      </c>
      <c r="Y25" s="2246">
        <v>6</v>
      </c>
      <c r="Z25" s="795">
        <v>6</v>
      </c>
      <c r="AA25" s="782">
        <v>6</v>
      </c>
      <c r="AB25" s="782">
        <v>6</v>
      </c>
      <c r="AC25" s="782">
        <v>6</v>
      </c>
      <c r="AD25" s="791">
        <v>6</v>
      </c>
      <c r="AE25" s="362"/>
      <c r="AF25" s="378"/>
      <c r="AG25" s="298"/>
      <c r="AH25" s="298"/>
      <c r="AI25" s="362"/>
      <c r="AJ25" s="362"/>
      <c r="AK25" s="362"/>
      <c r="AL25" s="362"/>
      <c r="AM25" s="362"/>
    </row>
    <row r="26" spans="1:39">
      <c r="A26" s="1044" t="s">
        <v>611</v>
      </c>
      <c r="B26" s="782" t="s">
        <v>1560</v>
      </c>
      <c r="C26" s="2801">
        <f>'12.1.Разходи-увелич.и нам.'!C26</f>
        <v>73</v>
      </c>
      <c r="D26" s="2422">
        <f>'12.1.Разходи-увелич.и нам.'!D26</f>
        <v>83</v>
      </c>
      <c r="E26" s="2423">
        <f>$C26+('12.1.Разходи-увелич.и нам.'!E26+'12.1.Разходи-увелич.и нам.'!F26)</f>
        <v>73</v>
      </c>
      <c r="F26" s="2423">
        <f>$C26+('12.1.Разходи-увелич.и нам.'!G26+'12.1.Разходи-увелич.и нам.'!H26)</f>
        <v>73</v>
      </c>
      <c r="G26" s="2423">
        <f>$C26+('12.1.Разходи-увелич.и нам.'!I26+'12.1.Разходи-увелич.и нам.'!J26)</f>
        <v>73</v>
      </c>
      <c r="H26" s="2423">
        <f>$C26+('12.1.Разходи-увелич.и нам.'!K26+'12.1.Разходи-увелич.и нам.'!L26)</f>
        <v>73</v>
      </c>
      <c r="I26" s="2424">
        <f>$C26+('12.1.Разходи-увелич.и нам.'!M26+'12.1.Разходи-увелич.и нам.'!N26)</f>
        <v>73</v>
      </c>
      <c r="J26" s="2425">
        <f>'12.1.Разходи-увелич.и нам.'!O26</f>
        <v>3</v>
      </c>
      <c r="K26" s="2422">
        <f>'12.1.Разходи-увелич.и нам.'!P26</f>
        <v>3</v>
      </c>
      <c r="L26" s="2423">
        <f>$J26+('12.1.Разходи-увелич.и нам.'!Q26+'12.1.Разходи-увелич.и нам.'!R26)</f>
        <v>3</v>
      </c>
      <c r="M26" s="2423">
        <f>$J26+('12.1.Разходи-увелич.и нам.'!S26+'12.1.Разходи-увелич.и нам.'!T26)</f>
        <v>3</v>
      </c>
      <c r="N26" s="2423">
        <f>$J26+('12.1.Разходи-увелич.и нам.'!U26+'12.1.Разходи-увелич.и нам.'!V26)</f>
        <v>3</v>
      </c>
      <c r="O26" s="2423">
        <f>$J26+('12.1.Разходи-увелич.и нам.'!W26+'12.1.Разходи-увелич.и нам.'!X26)</f>
        <v>3</v>
      </c>
      <c r="P26" s="2424">
        <f>$J26+('12.1.Разходи-увелич.и нам.'!Y26+'12.1.Разходи-увелич.и нам.'!Z26)</f>
        <v>3</v>
      </c>
      <c r="Q26" s="2425">
        <f>'12.1.Разходи-увелич.и нам.'!AA26</f>
        <v>11</v>
      </c>
      <c r="R26" s="2426">
        <f>'12.1.Разходи-увелич.и нам.'!AB26</f>
        <v>6</v>
      </c>
      <c r="S26" s="2423">
        <f>$Q26+('12.1.Разходи-увелич.и нам.'!AC26+'12.1.Разходи-увелич.и нам.'!AD26)</f>
        <v>11</v>
      </c>
      <c r="T26" s="2423">
        <f>$Q26+('12.1.Разходи-увелич.и нам.'!AE26+'12.1.Разходи-увелич.и нам.'!AF26)</f>
        <v>11</v>
      </c>
      <c r="U26" s="2423">
        <f>$Q26+('12.1.Разходи-увелич.и нам.'!AG26+'12.1.Разходи-увелич.и нам.'!AH26)</f>
        <v>11</v>
      </c>
      <c r="V26" s="2423">
        <f>$Q26+('12.1.Разходи-увелич.и нам.'!AI26+'12.1.Разходи-увелич.и нам.'!AJ26)</f>
        <v>11</v>
      </c>
      <c r="W26" s="2424">
        <f>$Q26+('12.1.Разходи-увелич.и нам.'!AK26+'12.1.Разходи-увелич.и нам.'!AL26)</f>
        <v>11</v>
      </c>
      <c r="X26" s="2246">
        <v>8</v>
      </c>
      <c r="Y26" s="2246">
        <v>20</v>
      </c>
      <c r="Z26" s="795">
        <v>20</v>
      </c>
      <c r="AA26" s="782">
        <v>20</v>
      </c>
      <c r="AB26" s="782">
        <v>20</v>
      </c>
      <c r="AC26" s="782">
        <v>20</v>
      </c>
      <c r="AD26" s="791">
        <v>20</v>
      </c>
      <c r="AE26" s="362"/>
      <c r="AF26" s="378"/>
      <c r="AG26" s="298"/>
      <c r="AH26" s="298"/>
      <c r="AI26" s="362"/>
      <c r="AJ26" s="362"/>
      <c r="AK26" s="362"/>
      <c r="AL26" s="362"/>
      <c r="AM26" s="362"/>
    </row>
    <row r="27" spans="1:39" ht="15.75" thickBot="1">
      <c r="A27" s="1044" t="s">
        <v>612</v>
      </c>
      <c r="B27" s="782" t="s">
        <v>1561</v>
      </c>
      <c r="C27" s="2801">
        <f>'12.1.Разходи-увелич.и нам.'!C27</f>
        <v>17</v>
      </c>
      <c r="D27" s="2422">
        <f>'12.1.Разходи-увелич.и нам.'!D27</f>
        <v>41</v>
      </c>
      <c r="E27" s="2423">
        <f>$C27+('12.1.Разходи-увелич.и нам.'!E27+'12.1.Разходи-увелич.и нам.'!F27)</f>
        <v>17</v>
      </c>
      <c r="F27" s="2423">
        <f>$C27+('12.1.Разходи-увелич.и нам.'!G27+'12.1.Разходи-увелич.и нам.'!H27)</f>
        <v>17</v>
      </c>
      <c r="G27" s="2423">
        <f>$C27+('12.1.Разходи-увелич.и нам.'!I27+'12.1.Разходи-увелич.и нам.'!J27)</f>
        <v>17</v>
      </c>
      <c r="H27" s="2423">
        <f>$C27+('12.1.Разходи-увелич.и нам.'!K27+'12.1.Разходи-увелич.и нам.'!L27)</f>
        <v>17</v>
      </c>
      <c r="I27" s="2424">
        <f>$C27+('12.1.Разходи-увелич.и нам.'!M27+'12.1.Разходи-увелич.и нам.'!N27)</f>
        <v>17</v>
      </c>
      <c r="J27" s="2425">
        <f>'12.1.Разходи-увелич.и нам.'!O27</f>
        <v>0</v>
      </c>
      <c r="K27" s="2422">
        <f>'12.1.Разходи-увелич.и нам.'!P27</f>
        <v>0</v>
      </c>
      <c r="L27" s="2423">
        <f>$J27+('12.1.Разходи-увелич.и нам.'!Q27+'12.1.Разходи-увелич.и нам.'!R27)</f>
        <v>0</v>
      </c>
      <c r="M27" s="2423">
        <f>$J27+('12.1.Разходи-увелич.и нам.'!S27+'12.1.Разходи-увелич.и нам.'!T27)</f>
        <v>0</v>
      </c>
      <c r="N27" s="2423">
        <f>$J27+('12.1.Разходи-увелич.и нам.'!U27+'12.1.Разходи-увелич.и нам.'!V27)</f>
        <v>0</v>
      </c>
      <c r="O27" s="2423">
        <f>$J27+('12.1.Разходи-увелич.и нам.'!W27+'12.1.Разходи-увелич.и нам.'!X27)</f>
        <v>0</v>
      </c>
      <c r="P27" s="2424">
        <f>$J27+('12.1.Разходи-увелич.и нам.'!Y27+'12.1.Разходи-увелич.и нам.'!Z27)</f>
        <v>0</v>
      </c>
      <c r="Q27" s="2425">
        <f>'12.1.Разходи-увелич.и нам.'!AA27</f>
        <v>0</v>
      </c>
      <c r="R27" s="2426">
        <f>'12.1.Разходи-увелич.и нам.'!AB27</f>
        <v>0</v>
      </c>
      <c r="S27" s="2423">
        <f>$Q27+('12.1.Разходи-увелич.и нам.'!AC27+'12.1.Разходи-увелич.и нам.'!AD27)</f>
        <v>0</v>
      </c>
      <c r="T27" s="2423">
        <f>$Q27+('12.1.Разходи-увелич.и нам.'!AE27+'12.1.Разходи-увелич.и нам.'!AF27)</f>
        <v>0</v>
      </c>
      <c r="U27" s="2423">
        <f>$Q27+('12.1.Разходи-увелич.и нам.'!AG27+'12.1.Разходи-увелич.и нам.'!AH27)</f>
        <v>0</v>
      </c>
      <c r="V27" s="2423">
        <f>$Q27+('12.1.Разходи-увелич.и нам.'!AI27+'12.1.Разходи-увелич.и нам.'!AJ27)</f>
        <v>0</v>
      </c>
      <c r="W27" s="2424">
        <f>$Q27+('12.1.Разходи-увелич.и нам.'!AK27+'12.1.Разходи-увелич.и нам.'!AL27)</f>
        <v>0</v>
      </c>
      <c r="X27" s="2246">
        <v>998</v>
      </c>
      <c r="Y27" s="2246">
        <v>985</v>
      </c>
      <c r="Z27" s="795">
        <v>955</v>
      </c>
      <c r="AA27" s="782">
        <v>958</v>
      </c>
      <c r="AB27" s="782">
        <v>960</v>
      </c>
      <c r="AC27" s="782">
        <v>965</v>
      </c>
      <c r="AD27" s="791">
        <v>970</v>
      </c>
      <c r="AE27" s="362"/>
      <c r="AF27" s="378"/>
      <c r="AG27" s="298"/>
      <c r="AH27" s="298"/>
      <c r="AI27" s="362"/>
      <c r="AJ27" s="362"/>
      <c r="AK27" s="362"/>
      <c r="AL27" s="362"/>
      <c r="AM27" s="362"/>
    </row>
    <row r="28" spans="1:39" thickBot="1">
      <c r="A28" s="1045" t="s">
        <v>103</v>
      </c>
      <c r="B28" s="1046" t="s">
        <v>303</v>
      </c>
      <c r="C28" s="2066">
        <f>SUM(C29:C52)-C36-C49</f>
        <v>2026</v>
      </c>
      <c r="D28" s="1047">
        <f t="shared" ref="D28:W28" si="6">SUM(D29:D52)-D36-D49</f>
        <v>1941</v>
      </c>
      <c r="E28" s="1071">
        <f t="shared" si="6"/>
        <v>2025</v>
      </c>
      <c r="F28" s="1072">
        <f t="shared" si="6"/>
        <v>2025</v>
      </c>
      <c r="G28" s="1072">
        <f t="shared" si="6"/>
        <v>2025</v>
      </c>
      <c r="H28" s="1072">
        <f t="shared" si="6"/>
        <v>1966</v>
      </c>
      <c r="I28" s="1073">
        <f t="shared" si="6"/>
        <v>1909</v>
      </c>
      <c r="J28" s="2066">
        <f t="shared" si="6"/>
        <v>26</v>
      </c>
      <c r="K28" s="1047">
        <f t="shared" si="6"/>
        <v>20</v>
      </c>
      <c r="L28" s="1071">
        <f t="shared" si="6"/>
        <v>26</v>
      </c>
      <c r="M28" s="1072">
        <f t="shared" si="6"/>
        <v>26</v>
      </c>
      <c r="N28" s="1072">
        <f t="shared" si="6"/>
        <v>26</v>
      </c>
      <c r="O28" s="1072">
        <f t="shared" si="6"/>
        <v>26</v>
      </c>
      <c r="P28" s="1073">
        <f t="shared" si="6"/>
        <v>26</v>
      </c>
      <c r="Q28" s="2066">
        <f t="shared" si="6"/>
        <v>51</v>
      </c>
      <c r="R28" s="1047">
        <f t="shared" si="6"/>
        <v>303</v>
      </c>
      <c r="S28" s="1071">
        <f t="shared" si="6"/>
        <v>51</v>
      </c>
      <c r="T28" s="1072">
        <f t="shared" si="6"/>
        <v>51</v>
      </c>
      <c r="U28" s="1072">
        <f t="shared" si="6"/>
        <v>51</v>
      </c>
      <c r="V28" s="1072">
        <f t="shared" si="6"/>
        <v>51</v>
      </c>
      <c r="W28" s="1073">
        <f t="shared" si="6"/>
        <v>51</v>
      </c>
      <c r="X28" s="1047">
        <f t="shared" ref="X28" si="7">SUM(X29:X52)-X36-X49</f>
        <v>457</v>
      </c>
      <c r="Y28" s="1047">
        <f t="shared" ref="Y28" si="8">SUM(Y29:Y52)-Y36-Y49</f>
        <v>522</v>
      </c>
      <c r="Z28" s="1071">
        <f t="shared" ref="Z28" si="9">SUM(Z29:Z52)-Z36-Z49</f>
        <v>514</v>
      </c>
      <c r="AA28" s="1072">
        <f t="shared" ref="AA28" si="10">SUM(AA29:AA52)-AA36-AA49</f>
        <v>523</v>
      </c>
      <c r="AB28" s="1072">
        <f t="shared" ref="AB28" si="11">SUM(AB29:AB52)-AB36-AB49</f>
        <v>534</v>
      </c>
      <c r="AC28" s="1072">
        <f t="shared" ref="AC28" si="12">SUM(AC29:AC52)-AC36-AC49</f>
        <v>535</v>
      </c>
      <c r="AD28" s="1073">
        <f t="shared" ref="AD28" si="13">SUM(AD29:AD52)-AD36-AD49</f>
        <v>539</v>
      </c>
      <c r="AE28" s="363"/>
      <c r="AF28" s="378"/>
      <c r="AG28" s="298"/>
      <c r="AH28" s="298"/>
      <c r="AI28" s="363"/>
      <c r="AJ28" s="363"/>
      <c r="AK28" s="363"/>
      <c r="AL28" s="363"/>
      <c r="AM28" s="363"/>
    </row>
    <row r="29" spans="1:39" ht="14.25">
      <c r="A29" s="1031" t="s">
        <v>105</v>
      </c>
      <c r="B29" s="1032" t="s">
        <v>304</v>
      </c>
      <c r="C29" s="2801">
        <f>'12.1.Разходи-увелич.и нам.'!C29</f>
        <v>70</v>
      </c>
      <c r="D29" s="2422">
        <f>'12.1.Разходи-увелич.и нам.'!D29</f>
        <v>70</v>
      </c>
      <c r="E29" s="2423">
        <f>$C29+('12.1.Разходи-увелич.и нам.'!E29+'12.1.Разходи-увелич.и нам.'!F29)</f>
        <v>70</v>
      </c>
      <c r="F29" s="2423">
        <f>$C29+('12.1.Разходи-увелич.и нам.'!G29+'12.1.Разходи-увелич.и нам.'!H29)</f>
        <v>70</v>
      </c>
      <c r="G29" s="2423">
        <f>$C29+('12.1.Разходи-увелич.и нам.'!I29+'12.1.Разходи-увелич.и нам.'!J29)</f>
        <v>70</v>
      </c>
      <c r="H29" s="2423">
        <f>$C29+('12.1.Разходи-увелич.и нам.'!K29+'12.1.Разходи-увелич.и нам.'!L29)</f>
        <v>70</v>
      </c>
      <c r="I29" s="2424">
        <f>$C29+('12.1.Разходи-увелич.и нам.'!M29+'12.1.Разходи-увелич.и нам.'!N29)</f>
        <v>70</v>
      </c>
      <c r="J29" s="2425">
        <f>'12.1.Разходи-увелич.и нам.'!O29</f>
        <v>3</v>
      </c>
      <c r="K29" s="2422">
        <f>'12.1.Разходи-увелич.и нам.'!P29</f>
        <v>3</v>
      </c>
      <c r="L29" s="2423">
        <f>$J29+('12.1.Разходи-увелич.и нам.'!Q29+'12.1.Разходи-увелич.и нам.'!R29)</f>
        <v>3</v>
      </c>
      <c r="M29" s="2423">
        <f>$J29+('12.1.Разходи-увелич.и нам.'!S29+'12.1.Разходи-увелич.и нам.'!T29)</f>
        <v>3</v>
      </c>
      <c r="N29" s="2423">
        <f>$J29+('12.1.Разходи-увелич.и нам.'!U29+'12.1.Разходи-увелич.и нам.'!V29)</f>
        <v>3</v>
      </c>
      <c r="O29" s="2423">
        <f>$J29+('12.1.Разходи-увелич.и нам.'!W29+'12.1.Разходи-увелич.и нам.'!X29)</f>
        <v>3</v>
      </c>
      <c r="P29" s="2424">
        <f>$J29+('12.1.Разходи-увелич.и нам.'!Y29+'12.1.Разходи-увелич.и нам.'!Z29)</f>
        <v>3</v>
      </c>
      <c r="Q29" s="2425">
        <f>'12.1.Разходи-увелич.и нам.'!AA29</f>
        <v>4</v>
      </c>
      <c r="R29" s="2426">
        <f>'12.1.Разходи-увелич.и нам.'!AB29</f>
        <v>3</v>
      </c>
      <c r="S29" s="2423">
        <f>$Q29+('12.1.Разходи-увелич.и нам.'!AC29+'12.1.Разходи-увелич.и нам.'!AD29)</f>
        <v>4</v>
      </c>
      <c r="T29" s="2423">
        <f>$Q29+('12.1.Разходи-увелич.и нам.'!AE29+'12.1.Разходи-увелич.и нам.'!AF29)</f>
        <v>4</v>
      </c>
      <c r="U29" s="2423">
        <f>$Q29+('12.1.Разходи-увелич.и нам.'!AG29+'12.1.Разходи-увелич.и нам.'!AH29)</f>
        <v>4</v>
      </c>
      <c r="V29" s="2423">
        <f>$Q29+('12.1.Разходи-увелич.и нам.'!AI29+'12.1.Разходи-увелич.и нам.'!AJ29)</f>
        <v>4</v>
      </c>
      <c r="W29" s="2424">
        <f>$Q29+('12.1.Разходи-увелич.и нам.'!AK29+'12.1.Разходи-увелич.и нам.'!AL29)</f>
        <v>4</v>
      </c>
      <c r="X29" s="2246">
        <v>1</v>
      </c>
      <c r="Y29" s="2246">
        <v>1</v>
      </c>
      <c r="Z29" s="795">
        <v>1</v>
      </c>
      <c r="AA29" s="782">
        <v>1</v>
      </c>
      <c r="AB29" s="782">
        <v>1</v>
      </c>
      <c r="AC29" s="782">
        <v>1</v>
      </c>
      <c r="AD29" s="791">
        <v>1</v>
      </c>
      <c r="AE29" s="363"/>
      <c r="AF29" s="380"/>
      <c r="AG29" s="298"/>
      <c r="AH29" s="298"/>
      <c r="AI29" s="363"/>
      <c r="AJ29" s="363"/>
      <c r="AK29" s="363"/>
      <c r="AL29" s="363"/>
      <c r="AM29" s="363"/>
    </row>
    <row r="30" spans="1:39" ht="16.5" customHeight="1">
      <c r="A30" s="1037" t="s">
        <v>107</v>
      </c>
      <c r="B30" s="3113" t="s">
        <v>305</v>
      </c>
      <c r="C30" s="2425">
        <f>'12.1.Разходи-увелич.и нам.'!C30</f>
        <v>1290</v>
      </c>
      <c r="D30" s="2427">
        <f>'12.1.Разходи-увелич.и нам.'!D30</f>
        <v>1297</v>
      </c>
      <c r="E30" s="2428">
        <f>$C30+('12.1.Разходи-увелич.и нам.'!E30+'12.1.Разходи-увелич.и нам.'!F30)</f>
        <v>1289</v>
      </c>
      <c r="F30" s="2428">
        <f>$C30+('12.1.Разходи-увелич.и нам.'!G30+'12.1.Разходи-увелич.и нам.'!H30)</f>
        <v>1289</v>
      </c>
      <c r="G30" s="2428">
        <f>$C30+('12.1.Разходи-увелич.и нам.'!I30+'12.1.Разходи-увелич.и нам.'!J30)</f>
        <v>1289</v>
      </c>
      <c r="H30" s="2428">
        <f>$C30+('12.1.Разходи-увелич.и нам.'!K30+'12.1.Разходи-увелич.и нам.'!L30)</f>
        <v>1230</v>
      </c>
      <c r="I30" s="1497">
        <f>$C30+('12.1.Разходи-увелич.и нам.'!M30+'12.1.Разходи-увелич.и нам.'!N30)</f>
        <v>1173</v>
      </c>
      <c r="J30" s="2425">
        <f>'12.1.Разходи-увелич.и нам.'!O30</f>
        <v>0</v>
      </c>
      <c r="K30" s="2422">
        <f>'12.1.Разходи-увелич.и нам.'!P30</f>
        <v>0</v>
      </c>
      <c r="L30" s="2423">
        <f>$J30+('12.1.Разходи-увелич.и нам.'!Q30+'12.1.Разходи-увелич.и нам.'!R30)</f>
        <v>0</v>
      </c>
      <c r="M30" s="2423">
        <f>$J30+('12.1.Разходи-увелич.и нам.'!S30+'12.1.Разходи-увелич.и нам.'!T30)</f>
        <v>0</v>
      </c>
      <c r="N30" s="2423">
        <f>$J30+('12.1.Разходи-увелич.и нам.'!U30+'12.1.Разходи-увелич.и нам.'!V30)</f>
        <v>0</v>
      </c>
      <c r="O30" s="2423">
        <f>$J30+('12.1.Разходи-увелич.и нам.'!W30+'12.1.Разходи-увелич.и нам.'!X30)</f>
        <v>0</v>
      </c>
      <c r="P30" s="2424">
        <f>$J30+('12.1.Разходи-увелич.и нам.'!Y30+'12.1.Разходи-увелич.и нам.'!Z30)</f>
        <v>0</v>
      </c>
      <c r="Q30" s="2425">
        <f>'12.1.Разходи-увелич.и нам.'!AA30</f>
        <v>0</v>
      </c>
      <c r="R30" s="2426">
        <f>'12.1.Разходи-увелич.и нам.'!AB30</f>
        <v>0</v>
      </c>
      <c r="S30" s="2423">
        <f>$Q30+('12.1.Разходи-увелич.и нам.'!AC30+'12.1.Разходи-увелич.и нам.'!AD30)</f>
        <v>0</v>
      </c>
      <c r="T30" s="2423">
        <f>$Q30+('12.1.Разходи-увелич.и нам.'!AE30+'12.1.Разходи-увелич.и нам.'!AF30)</f>
        <v>0</v>
      </c>
      <c r="U30" s="2423">
        <f>$Q30+('12.1.Разходи-увелич.и нам.'!AG30+'12.1.Разходи-увелич.и нам.'!AH30)</f>
        <v>0</v>
      </c>
      <c r="V30" s="2423">
        <f>$Q30+('12.1.Разходи-увелич.и нам.'!AI30+'12.1.Разходи-увелич.и нам.'!AJ30)</f>
        <v>0</v>
      </c>
      <c r="W30" s="2424">
        <f>$Q30+('12.1.Разходи-увелич.и нам.'!AK30+'12.1.Разходи-увелич.и нам.'!AL30)</f>
        <v>0</v>
      </c>
      <c r="X30" s="2246">
        <v>0</v>
      </c>
      <c r="Y30" s="2246">
        <v>0</v>
      </c>
      <c r="Z30" s="795">
        <v>0</v>
      </c>
      <c r="AA30" s="782">
        <v>0</v>
      </c>
      <c r="AB30" s="782">
        <v>0</v>
      </c>
      <c r="AC30" s="782">
        <v>0</v>
      </c>
      <c r="AD30" s="791">
        <v>0</v>
      </c>
      <c r="AE30" s="361"/>
      <c r="AF30" s="380"/>
      <c r="AG30" s="298"/>
      <c r="AH30" s="298"/>
      <c r="AI30" s="361"/>
      <c r="AJ30" s="361"/>
      <c r="AK30" s="361"/>
      <c r="AL30" s="361"/>
      <c r="AM30" s="361"/>
    </row>
    <row r="31" spans="1:39">
      <c r="A31" s="1037" t="s">
        <v>225</v>
      </c>
      <c r="B31" s="1038" t="s">
        <v>307</v>
      </c>
      <c r="C31" s="2425">
        <f>'12.1.Разходи-увелич.и нам.'!C31</f>
        <v>3</v>
      </c>
      <c r="D31" s="2427">
        <f>'12.1.Разходи-увелич.и нам.'!D31</f>
        <v>2</v>
      </c>
      <c r="E31" s="2428">
        <f>$C31+('12.1.Разходи-увелич.и нам.'!E31+'12.1.Разходи-увелич.и нам.'!F31)</f>
        <v>3</v>
      </c>
      <c r="F31" s="2428">
        <f>$C31+('12.1.Разходи-увелич.и нам.'!G31+'12.1.Разходи-увелич.и нам.'!H31)</f>
        <v>3</v>
      </c>
      <c r="G31" s="2428">
        <f>$C31+('12.1.Разходи-увелич.и нам.'!I31+'12.1.Разходи-увелич.и нам.'!J31)</f>
        <v>3</v>
      </c>
      <c r="H31" s="2428">
        <f>$C31+('12.1.Разходи-увелич.и нам.'!K31+'12.1.Разходи-увелич.и нам.'!L31)</f>
        <v>3</v>
      </c>
      <c r="I31" s="1497">
        <f>$C31+('12.1.Разходи-увелич.и нам.'!M31+'12.1.Разходи-увелич.и нам.'!N31)</f>
        <v>3</v>
      </c>
      <c r="J31" s="2425">
        <f>'12.1.Разходи-увелич.и нам.'!O31</f>
        <v>0</v>
      </c>
      <c r="K31" s="2422">
        <f>'12.1.Разходи-увелич.и нам.'!P31</f>
        <v>0</v>
      </c>
      <c r="L31" s="2423">
        <f>$J31+('12.1.Разходи-увелич.и нам.'!Q31+'12.1.Разходи-увелич.и нам.'!R31)</f>
        <v>0</v>
      </c>
      <c r="M31" s="2423">
        <f>$J31+('12.1.Разходи-увелич.и нам.'!S31+'12.1.Разходи-увелич.и нам.'!T31)</f>
        <v>0</v>
      </c>
      <c r="N31" s="2423">
        <f>$J31+('12.1.Разходи-увелич.и нам.'!U31+'12.1.Разходи-увелич.и нам.'!V31)</f>
        <v>0</v>
      </c>
      <c r="O31" s="2423">
        <f>$J31+('12.1.Разходи-увелич.и нам.'!W31+'12.1.Разходи-увелич.и нам.'!X31)</f>
        <v>0</v>
      </c>
      <c r="P31" s="2424">
        <f>$J31+('12.1.Разходи-увелич.и нам.'!Y31+'12.1.Разходи-увелич.и нам.'!Z31)</f>
        <v>0</v>
      </c>
      <c r="Q31" s="2425">
        <f>'12.1.Разходи-увелич.и нам.'!AA31</f>
        <v>0</v>
      </c>
      <c r="R31" s="2426">
        <f>'12.1.Разходи-увелич.и нам.'!AB31</f>
        <v>0</v>
      </c>
      <c r="S31" s="2423">
        <f>$Q31+('12.1.Разходи-увелич.и нам.'!AC31+'12.1.Разходи-увелич.и нам.'!AD31)</f>
        <v>0</v>
      </c>
      <c r="T31" s="2423">
        <f>$Q31+('12.1.Разходи-увелич.и нам.'!AE31+'12.1.Разходи-увелич.и нам.'!AF31)</f>
        <v>0</v>
      </c>
      <c r="U31" s="2423">
        <f>$Q31+('12.1.Разходи-увелич.и нам.'!AG31+'12.1.Разходи-увелич.и нам.'!AH31)</f>
        <v>0</v>
      </c>
      <c r="V31" s="2423">
        <f>$Q31+('12.1.Разходи-увелич.и нам.'!AI31+'12.1.Разходи-увелич.и нам.'!AJ31)</f>
        <v>0</v>
      </c>
      <c r="W31" s="2424">
        <f>$Q31+('12.1.Разходи-увелич.и нам.'!AK31+'12.1.Разходи-увелич.и нам.'!AL31)</f>
        <v>0</v>
      </c>
      <c r="X31" s="2246">
        <v>0</v>
      </c>
      <c r="Y31" s="2246">
        <v>0</v>
      </c>
      <c r="Z31" s="795">
        <v>0</v>
      </c>
      <c r="AA31" s="782">
        <v>0</v>
      </c>
      <c r="AB31" s="782">
        <v>0</v>
      </c>
      <c r="AC31" s="782">
        <v>0</v>
      </c>
      <c r="AD31" s="791">
        <v>0</v>
      </c>
      <c r="AE31" s="358"/>
      <c r="AF31" s="358"/>
      <c r="AG31" s="358"/>
      <c r="AH31" s="358"/>
      <c r="AI31" s="358"/>
      <c r="AJ31" s="358"/>
      <c r="AK31" s="358"/>
      <c r="AL31" s="358"/>
      <c r="AM31" s="358"/>
    </row>
    <row r="32" spans="1:39">
      <c r="A32" s="1037" t="s">
        <v>306</v>
      </c>
      <c r="B32" s="1038" t="s">
        <v>309</v>
      </c>
      <c r="C32" s="2425">
        <f>'12.1.Разходи-увелич.и нам.'!C32</f>
        <v>28</v>
      </c>
      <c r="D32" s="2427">
        <f>'12.1.Разходи-увелич.и нам.'!D32</f>
        <v>29</v>
      </c>
      <c r="E32" s="2428">
        <f>$C32+('12.1.Разходи-увелич.и нам.'!E32+'12.1.Разходи-увелич.и нам.'!F32)</f>
        <v>28</v>
      </c>
      <c r="F32" s="2428">
        <f>$C32+('12.1.Разходи-увелич.и нам.'!G32+'12.1.Разходи-увелич.и нам.'!H32)</f>
        <v>28</v>
      </c>
      <c r="G32" s="2428">
        <f>$C32+('12.1.Разходи-увелич.и нам.'!I32+'12.1.Разходи-увелич.и нам.'!J32)</f>
        <v>28</v>
      </c>
      <c r="H32" s="2428">
        <f>$C32+('12.1.Разходи-увелич.и нам.'!K32+'12.1.Разходи-увелич.и нам.'!L32)</f>
        <v>28</v>
      </c>
      <c r="I32" s="1497">
        <f>$C32+('12.1.Разходи-увелич.и нам.'!M32+'12.1.Разходи-увелич.и нам.'!N32)</f>
        <v>28</v>
      </c>
      <c r="J32" s="2425">
        <f>'12.1.Разходи-увелич.и нам.'!O32</f>
        <v>1</v>
      </c>
      <c r="K32" s="2422">
        <f>'12.1.Разходи-увелич.и нам.'!P32</f>
        <v>1</v>
      </c>
      <c r="L32" s="2423">
        <f>$J32+('12.1.Разходи-увелич.и нам.'!Q32+'12.1.Разходи-увелич.и нам.'!R32)</f>
        <v>1</v>
      </c>
      <c r="M32" s="2423">
        <f>$J32+('12.1.Разходи-увелич.и нам.'!S32+'12.1.Разходи-увелич.и нам.'!T32)</f>
        <v>1</v>
      </c>
      <c r="N32" s="2423">
        <f>$J32+('12.1.Разходи-увелич.и нам.'!U32+'12.1.Разходи-увелич.и нам.'!V32)</f>
        <v>1</v>
      </c>
      <c r="O32" s="2423">
        <f>$J32+('12.1.Разходи-увелич.и нам.'!W32+'12.1.Разходи-увелич.и нам.'!X32)</f>
        <v>1</v>
      </c>
      <c r="P32" s="2424">
        <f>$J32+('12.1.Разходи-увелич.и нам.'!Y32+'12.1.Разходи-увелич.и нам.'!Z32)</f>
        <v>1</v>
      </c>
      <c r="Q32" s="2425">
        <f>'12.1.Разходи-увелич.и нам.'!AA32</f>
        <v>2</v>
      </c>
      <c r="R32" s="2426">
        <f>'12.1.Разходи-увелич.и нам.'!AB32</f>
        <v>1</v>
      </c>
      <c r="S32" s="2423">
        <f>$Q32+('12.1.Разходи-увелич.и нам.'!AC32+'12.1.Разходи-увелич.и нам.'!AD32)</f>
        <v>2</v>
      </c>
      <c r="T32" s="2423">
        <f>$Q32+('12.1.Разходи-увелич.и нам.'!AE32+'12.1.Разходи-увелич.и нам.'!AF32)</f>
        <v>2</v>
      </c>
      <c r="U32" s="2423">
        <f>$Q32+('12.1.Разходи-увелич.и нам.'!AG32+'12.1.Разходи-увелич.и нам.'!AH32)</f>
        <v>2</v>
      </c>
      <c r="V32" s="2423">
        <f>$Q32+('12.1.Разходи-увелич.и нам.'!AI32+'12.1.Разходи-увелич.и нам.'!AJ32)</f>
        <v>2</v>
      </c>
      <c r="W32" s="2424">
        <f>$Q32+('12.1.Разходи-увелич.и нам.'!AK32+'12.1.Разходи-увелич.и нам.'!AL32)</f>
        <v>2</v>
      </c>
      <c r="X32" s="2246">
        <v>1</v>
      </c>
      <c r="Y32" s="2246">
        <v>1</v>
      </c>
      <c r="Z32" s="795">
        <v>1</v>
      </c>
      <c r="AA32" s="782">
        <v>1</v>
      </c>
      <c r="AB32" s="782">
        <v>1</v>
      </c>
      <c r="AC32" s="782">
        <v>1</v>
      </c>
      <c r="AD32" s="791">
        <v>1</v>
      </c>
    </row>
    <row r="33" spans="1:39">
      <c r="A33" s="1037" t="s">
        <v>308</v>
      </c>
      <c r="B33" s="1038" t="s">
        <v>311</v>
      </c>
      <c r="C33" s="2425">
        <f>'12.1.Разходи-увелич.и нам.'!C33</f>
        <v>1</v>
      </c>
      <c r="D33" s="2427">
        <f>'12.1.Разходи-увелич.и нам.'!D33</f>
        <v>2</v>
      </c>
      <c r="E33" s="2428">
        <f>$C33+('12.1.Разходи-увелич.и нам.'!E33+'12.1.Разходи-увелич.и нам.'!F33)</f>
        <v>1</v>
      </c>
      <c r="F33" s="2428">
        <f>$C33+('12.1.Разходи-увелич.и нам.'!G33+'12.1.Разходи-увелич.и нам.'!H33)</f>
        <v>1</v>
      </c>
      <c r="G33" s="2428">
        <f>$C33+('12.1.Разходи-увелич.и нам.'!I33+'12.1.Разходи-увелич.и нам.'!J33)</f>
        <v>1</v>
      </c>
      <c r="H33" s="2428">
        <f>$C33+('12.1.Разходи-увелич.и нам.'!K33+'12.1.Разходи-увелич.и нам.'!L33)</f>
        <v>1</v>
      </c>
      <c r="I33" s="1497">
        <f>$C33+('12.1.Разходи-увелич.и нам.'!M33+'12.1.Разходи-увелич.и нам.'!N33)</f>
        <v>1</v>
      </c>
      <c r="J33" s="2425">
        <f>'12.1.Разходи-увелич.и нам.'!O33</f>
        <v>1</v>
      </c>
      <c r="K33" s="2422">
        <f>'12.1.Разходи-увелич.и нам.'!P33</f>
        <v>1</v>
      </c>
      <c r="L33" s="2423">
        <f>$J33+('12.1.Разходи-увелич.и нам.'!Q33+'12.1.Разходи-увелич.и нам.'!R33)</f>
        <v>1</v>
      </c>
      <c r="M33" s="2423">
        <f>$J33+('12.1.Разходи-увелич.и нам.'!S33+'12.1.Разходи-увелич.и нам.'!T33)</f>
        <v>1</v>
      </c>
      <c r="N33" s="2423">
        <f>$J33+('12.1.Разходи-увелич.и нам.'!U33+'12.1.Разходи-увелич.и нам.'!V33)</f>
        <v>1</v>
      </c>
      <c r="O33" s="2423">
        <f>$J33+('12.1.Разходи-увелич.и нам.'!W33+'12.1.Разходи-увелич.и нам.'!X33)</f>
        <v>1</v>
      </c>
      <c r="P33" s="2424">
        <f>$J33+('12.1.Разходи-увелич.и нам.'!Y33+'12.1.Разходи-увелич.и нам.'!Z33)</f>
        <v>1</v>
      </c>
      <c r="Q33" s="2425">
        <f>'12.1.Разходи-увелич.и нам.'!AA33</f>
        <v>8</v>
      </c>
      <c r="R33" s="2426">
        <f>'12.1.Разходи-увелич.и нам.'!AB33</f>
        <v>32</v>
      </c>
      <c r="S33" s="2423">
        <f>$Q33+('12.1.Разходи-увелич.и нам.'!AC33+'12.1.Разходи-увелич.и нам.'!AD33)</f>
        <v>8</v>
      </c>
      <c r="T33" s="2423">
        <f>$Q33+('12.1.Разходи-увелич.и нам.'!AE33+'12.1.Разходи-увелич.и нам.'!AF33)</f>
        <v>8</v>
      </c>
      <c r="U33" s="2423">
        <f>$Q33+('12.1.Разходи-увелич.и нам.'!AG33+'12.1.Разходи-увелич.и нам.'!AH33)</f>
        <v>8</v>
      </c>
      <c r="V33" s="2423">
        <f>$Q33+('12.1.Разходи-увелич.и нам.'!AI33+'12.1.Разходи-увелич.и нам.'!AJ33)</f>
        <v>8</v>
      </c>
      <c r="W33" s="2424">
        <f>$Q33+('12.1.Разходи-увелич.и нам.'!AK33+'12.1.Разходи-увелич.и нам.'!AL33)</f>
        <v>8</v>
      </c>
      <c r="X33" s="2246">
        <v>1</v>
      </c>
      <c r="Y33" s="2246">
        <v>1</v>
      </c>
      <c r="Z33" s="795">
        <v>1</v>
      </c>
      <c r="AA33" s="782">
        <v>1</v>
      </c>
      <c r="AB33" s="782">
        <v>1</v>
      </c>
      <c r="AC33" s="782">
        <v>1</v>
      </c>
      <c r="AD33" s="791">
        <v>1</v>
      </c>
    </row>
    <row r="34" spans="1:39">
      <c r="A34" s="1037" t="s">
        <v>310</v>
      </c>
      <c r="B34" s="1038" t="s">
        <v>313</v>
      </c>
      <c r="C34" s="2425">
        <f>'12.1.Разходи-увелич.и нам.'!C34</f>
        <v>31</v>
      </c>
      <c r="D34" s="2427">
        <f>'12.1.Разходи-увелич.и нам.'!D34</f>
        <v>23</v>
      </c>
      <c r="E34" s="2428">
        <f>$C34+('12.1.Разходи-увелич.и нам.'!E34+'12.1.Разходи-увелич.и нам.'!F34)</f>
        <v>31</v>
      </c>
      <c r="F34" s="2428">
        <f>$C34+('12.1.Разходи-увелич.и нам.'!G34+'12.1.Разходи-увелич.и нам.'!H34)</f>
        <v>31</v>
      </c>
      <c r="G34" s="2428">
        <f>$C34+('12.1.Разходи-увелич.и нам.'!I34+'12.1.Разходи-увелич.и нам.'!J34)</f>
        <v>31</v>
      </c>
      <c r="H34" s="2428">
        <f>$C34+('12.1.Разходи-увелич.и нам.'!K34+'12.1.Разходи-увелич.и нам.'!L34)</f>
        <v>31</v>
      </c>
      <c r="I34" s="1497">
        <f>$C34+('12.1.Разходи-увелич.и нам.'!M34+'12.1.Разходи-увелич.и нам.'!N34)</f>
        <v>31</v>
      </c>
      <c r="J34" s="2425">
        <f>'12.1.Разходи-увелич.и нам.'!O34</f>
        <v>1</v>
      </c>
      <c r="K34" s="2422">
        <f>'12.1.Разходи-увелич.и нам.'!P34</f>
        <v>1</v>
      </c>
      <c r="L34" s="2423">
        <f>$J34+('12.1.Разходи-увелич.и нам.'!Q34+'12.1.Разходи-увелич.и нам.'!R34)</f>
        <v>1</v>
      </c>
      <c r="M34" s="2423">
        <f>$J34+('12.1.Разходи-увелич.и нам.'!S34+'12.1.Разходи-увелич.и нам.'!T34)</f>
        <v>1</v>
      </c>
      <c r="N34" s="2423">
        <f>$J34+('12.1.Разходи-увелич.и нам.'!U34+'12.1.Разходи-увелич.и нам.'!V34)</f>
        <v>1</v>
      </c>
      <c r="O34" s="2423">
        <f>$J34+('12.1.Разходи-увелич.и нам.'!W34+'12.1.Разходи-увелич.и нам.'!X34)</f>
        <v>1</v>
      </c>
      <c r="P34" s="2424">
        <f>$J34+('12.1.Разходи-увелич.и нам.'!Y34+'12.1.Разходи-увелич.и нам.'!Z34)</f>
        <v>1</v>
      </c>
      <c r="Q34" s="2425">
        <f>'12.1.Разходи-увелич.и нам.'!AA34</f>
        <v>13</v>
      </c>
      <c r="R34" s="2426">
        <f>'12.1.Разходи-увелич.и нам.'!AB34</f>
        <v>2</v>
      </c>
      <c r="S34" s="2423">
        <f>$Q34+('12.1.Разходи-увелич.и нам.'!AC34+'12.1.Разходи-увелич.и нам.'!AD34)</f>
        <v>13</v>
      </c>
      <c r="T34" s="2423">
        <f>$Q34+('12.1.Разходи-увелич.и нам.'!AE34+'12.1.Разходи-увелич.и нам.'!AF34)</f>
        <v>13</v>
      </c>
      <c r="U34" s="2423">
        <f>$Q34+('12.1.Разходи-увелич.и нам.'!AG34+'12.1.Разходи-увелич.и нам.'!AH34)</f>
        <v>13</v>
      </c>
      <c r="V34" s="2423">
        <f>$Q34+('12.1.Разходи-увелич.и нам.'!AI34+'12.1.Разходи-увелич.и нам.'!AJ34)</f>
        <v>13</v>
      </c>
      <c r="W34" s="2424">
        <f>$Q34+('12.1.Разходи-увелич.и нам.'!AK34+'12.1.Разходи-увелич.и нам.'!AL34)</f>
        <v>13</v>
      </c>
      <c r="X34" s="2246">
        <v>1</v>
      </c>
      <c r="Y34" s="2246">
        <v>1</v>
      </c>
      <c r="Z34" s="795">
        <v>1</v>
      </c>
      <c r="AA34" s="782">
        <v>1</v>
      </c>
      <c r="AB34" s="782">
        <v>1</v>
      </c>
      <c r="AC34" s="782">
        <v>1</v>
      </c>
      <c r="AD34" s="791">
        <v>1</v>
      </c>
    </row>
    <row r="35" spans="1:39">
      <c r="A35" s="1037" t="s">
        <v>312</v>
      </c>
      <c r="B35" s="1038" t="s">
        <v>315</v>
      </c>
      <c r="C35" s="2425">
        <f>'12.1.Разходи-увелич.и нам.'!C35</f>
        <v>16</v>
      </c>
      <c r="D35" s="2427">
        <f>'12.1.Разходи-увелич.и нам.'!D35</f>
        <v>19</v>
      </c>
      <c r="E35" s="2428">
        <f>$C35+('12.1.Разходи-увелич.и нам.'!E35+'12.1.Разходи-увелич.и нам.'!F35)</f>
        <v>16</v>
      </c>
      <c r="F35" s="2428">
        <f>$C35+('12.1.Разходи-увелич.и нам.'!G35+'12.1.Разходи-увелич.и нам.'!H35)</f>
        <v>16</v>
      </c>
      <c r="G35" s="2428">
        <f>$C35+('12.1.Разходи-увелич.и нам.'!I35+'12.1.Разходи-увелич.и нам.'!J35)</f>
        <v>16</v>
      </c>
      <c r="H35" s="2428">
        <f>$C35+('12.1.Разходи-увелич.и нам.'!K35+'12.1.Разходи-увелич.и нам.'!L35)</f>
        <v>16</v>
      </c>
      <c r="I35" s="1497">
        <f>$C35+('12.1.Разходи-увелич.и нам.'!M35+'12.1.Разходи-увелич.и нам.'!N35)</f>
        <v>16</v>
      </c>
      <c r="J35" s="2425">
        <f>'12.1.Разходи-увелич.и нам.'!O35</f>
        <v>1</v>
      </c>
      <c r="K35" s="2422">
        <f>'12.1.Разходи-увелич.и нам.'!P35</f>
        <v>1</v>
      </c>
      <c r="L35" s="2423">
        <f>$J35+('12.1.Разходи-увелич.и нам.'!Q35+'12.1.Разходи-увелич.и нам.'!R35)</f>
        <v>1</v>
      </c>
      <c r="M35" s="2423">
        <f>$J35+('12.1.Разходи-увелич.и нам.'!S35+'12.1.Разходи-увелич.и нам.'!T35)</f>
        <v>1</v>
      </c>
      <c r="N35" s="2423">
        <f>$J35+('12.1.Разходи-увелич.и нам.'!U35+'12.1.Разходи-увелич.и нам.'!V35)</f>
        <v>1</v>
      </c>
      <c r="O35" s="2423">
        <f>$J35+('12.1.Разходи-увелич.и нам.'!W35+'12.1.Разходи-увелич.и нам.'!X35)</f>
        <v>1</v>
      </c>
      <c r="P35" s="2424">
        <f>$J35+('12.1.Разходи-увелич.и нам.'!Y35+'12.1.Разходи-увелич.и нам.'!Z35)</f>
        <v>1</v>
      </c>
      <c r="Q35" s="2425">
        <f>'12.1.Разходи-увелич.и нам.'!AA35</f>
        <v>1</v>
      </c>
      <c r="R35" s="2426">
        <f>'12.1.Разходи-увелич.и нам.'!AB35</f>
        <v>1</v>
      </c>
      <c r="S35" s="2423">
        <f>$Q35+('12.1.Разходи-увелич.и нам.'!AC35+'12.1.Разходи-увелич.и нам.'!AD35)</f>
        <v>1</v>
      </c>
      <c r="T35" s="2423">
        <f>$Q35+('12.1.Разходи-увелич.и нам.'!AE35+'12.1.Разходи-увелич.и нам.'!AF35)</f>
        <v>1</v>
      </c>
      <c r="U35" s="2423">
        <f>$Q35+('12.1.Разходи-увелич.и нам.'!AG35+'12.1.Разходи-увелич.и нам.'!AH35)</f>
        <v>1</v>
      </c>
      <c r="V35" s="2423">
        <f>$Q35+('12.1.Разходи-увелич.и нам.'!AI35+'12.1.Разходи-увелич.и нам.'!AJ35)</f>
        <v>1</v>
      </c>
      <c r="W35" s="2424">
        <f>$Q35+('12.1.Разходи-увелич.и нам.'!AK35+'12.1.Разходи-увелич.и нам.'!AL35)</f>
        <v>1</v>
      </c>
      <c r="X35" s="2246">
        <v>0</v>
      </c>
      <c r="Y35" s="2246">
        <v>0</v>
      </c>
      <c r="Z35" s="795">
        <v>0</v>
      </c>
      <c r="AA35" s="782">
        <v>0</v>
      </c>
      <c r="AB35" s="782">
        <v>0</v>
      </c>
      <c r="AC35" s="782">
        <v>0</v>
      </c>
      <c r="AD35" s="791">
        <v>0</v>
      </c>
    </row>
    <row r="36" spans="1:39">
      <c r="A36" s="1037" t="s">
        <v>314</v>
      </c>
      <c r="B36" s="1038" t="s">
        <v>613</v>
      </c>
      <c r="C36" s="1088">
        <f>SUM(C37:C40)</f>
        <v>14</v>
      </c>
      <c r="D36" s="1082">
        <f t="shared" ref="D36:AD36" si="14">SUM(D37:D40)</f>
        <v>14</v>
      </c>
      <c r="E36" s="1083">
        <f t="shared" si="14"/>
        <v>14</v>
      </c>
      <c r="F36" s="1084">
        <f t="shared" si="14"/>
        <v>14</v>
      </c>
      <c r="G36" s="1084">
        <f t="shared" si="14"/>
        <v>14</v>
      </c>
      <c r="H36" s="1084">
        <f t="shared" si="14"/>
        <v>14</v>
      </c>
      <c r="I36" s="1085">
        <f t="shared" si="14"/>
        <v>14</v>
      </c>
      <c r="J36" s="1088">
        <f t="shared" si="14"/>
        <v>3</v>
      </c>
      <c r="K36" s="1082">
        <f t="shared" si="14"/>
        <v>3</v>
      </c>
      <c r="L36" s="1083">
        <f t="shared" si="14"/>
        <v>3</v>
      </c>
      <c r="M36" s="1084">
        <f t="shared" si="14"/>
        <v>3</v>
      </c>
      <c r="N36" s="1084">
        <f t="shared" si="14"/>
        <v>3</v>
      </c>
      <c r="O36" s="1084">
        <f t="shared" si="14"/>
        <v>3</v>
      </c>
      <c r="P36" s="1085">
        <f t="shared" si="14"/>
        <v>3</v>
      </c>
      <c r="Q36" s="1088">
        <f t="shared" si="14"/>
        <v>2</v>
      </c>
      <c r="R36" s="1082">
        <f t="shared" si="14"/>
        <v>2</v>
      </c>
      <c r="S36" s="1083">
        <f t="shared" si="14"/>
        <v>2</v>
      </c>
      <c r="T36" s="1084">
        <f t="shared" si="14"/>
        <v>2</v>
      </c>
      <c r="U36" s="1084">
        <f t="shared" si="14"/>
        <v>2</v>
      </c>
      <c r="V36" s="1084">
        <f t="shared" si="14"/>
        <v>2</v>
      </c>
      <c r="W36" s="1085">
        <f t="shared" si="14"/>
        <v>2</v>
      </c>
      <c r="X36" s="1082">
        <f t="shared" si="14"/>
        <v>0</v>
      </c>
      <c r="Y36" s="1082">
        <f t="shared" si="14"/>
        <v>0</v>
      </c>
      <c r="Z36" s="1083">
        <f t="shared" si="14"/>
        <v>0</v>
      </c>
      <c r="AA36" s="1084">
        <f t="shared" si="14"/>
        <v>0</v>
      </c>
      <c r="AB36" s="1084">
        <f t="shared" si="14"/>
        <v>0</v>
      </c>
      <c r="AC36" s="1084">
        <f t="shared" si="14"/>
        <v>0</v>
      </c>
      <c r="AD36" s="1085">
        <f t="shared" si="14"/>
        <v>0</v>
      </c>
    </row>
    <row r="37" spans="1:39" s="360" customFormat="1">
      <c r="A37" s="1050" t="s">
        <v>614</v>
      </c>
      <c r="B37" s="1042" t="s">
        <v>317</v>
      </c>
      <c r="C37" s="2801">
        <f>'12.1.Разходи-увелич.и нам.'!C37</f>
        <v>9</v>
      </c>
      <c r="D37" s="2422">
        <f>'12.1.Разходи-увелич.и нам.'!D37</f>
        <v>9</v>
      </c>
      <c r="E37" s="2423">
        <f>$C37+('12.1.Разходи-увелич.и нам.'!E37+'12.1.Разходи-увелич.и нам.'!F37)</f>
        <v>9</v>
      </c>
      <c r="F37" s="2423">
        <f>$C37+('12.1.Разходи-увелич.и нам.'!G37+'12.1.Разходи-увелич.и нам.'!H37)</f>
        <v>9</v>
      </c>
      <c r="G37" s="2423">
        <f>$C37+('12.1.Разходи-увелич.и нам.'!I37+'12.1.Разходи-увелич.и нам.'!J37)</f>
        <v>9</v>
      </c>
      <c r="H37" s="2423">
        <f>$C37+('12.1.Разходи-увелич.и нам.'!K37+'12.1.Разходи-увелич.и нам.'!L37)</f>
        <v>9</v>
      </c>
      <c r="I37" s="2424">
        <f>$C37+('12.1.Разходи-увелич.и нам.'!M37+'12.1.Разходи-увелич.и нам.'!N37)</f>
        <v>9</v>
      </c>
      <c r="J37" s="2425">
        <f>'12.1.Разходи-увелич.и нам.'!O37</f>
        <v>2</v>
      </c>
      <c r="K37" s="2422">
        <f>'12.1.Разходи-увелич.и нам.'!P37</f>
        <v>2</v>
      </c>
      <c r="L37" s="2423">
        <f>$J37+('12.1.Разходи-увелич.и нам.'!Q37+'12.1.Разходи-увелич.и нам.'!R37)</f>
        <v>2</v>
      </c>
      <c r="M37" s="2423">
        <f>$J37+('12.1.Разходи-увелич.и нам.'!S37+'12.1.Разходи-увелич.и нам.'!T37)</f>
        <v>2</v>
      </c>
      <c r="N37" s="2423">
        <f>$J37+('12.1.Разходи-увелич.и нам.'!U37+'12.1.Разходи-увелич.и нам.'!V37)</f>
        <v>2</v>
      </c>
      <c r="O37" s="2423">
        <f>$J37+('12.1.Разходи-увелич.и нам.'!W37+'12.1.Разходи-увелич.и нам.'!X37)</f>
        <v>2</v>
      </c>
      <c r="P37" s="2424">
        <f>$J37+('12.1.Разходи-увелич.и нам.'!Y37+'12.1.Разходи-увелич.и нам.'!Z37)</f>
        <v>2</v>
      </c>
      <c r="Q37" s="2425">
        <f>'12.1.Разходи-увелич.и нам.'!AA37</f>
        <v>1</v>
      </c>
      <c r="R37" s="2426">
        <f>'12.1.Разходи-увелич.и нам.'!AB37</f>
        <v>1</v>
      </c>
      <c r="S37" s="2423">
        <f>$Q37+('12.1.Разходи-увелич.и нам.'!AC37+'12.1.Разходи-увелич.и нам.'!AD37)</f>
        <v>1</v>
      </c>
      <c r="T37" s="2423">
        <f>$Q37+('12.1.Разходи-увелич.и нам.'!AE37+'12.1.Разходи-увелич.и нам.'!AF37)</f>
        <v>1</v>
      </c>
      <c r="U37" s="2423">
        <f>$Q37+('12.1.Разходи-увелич.и нам.'!AG37+'12.1.Разходи-увелич.и нам.'!AH37)</f>
        <v>1</v>
      </c>
      <c r="V37" s="2423">
        <f>$Q37+('12.1.Разходи-увелич.и нам.'!AI37+'12.1.Разходи-увелич.и нам.'!AJ37)</f>
        <v>1</v>
      </c>
      <c r="W37" s="2424">
        <f>$Q37+('12.1.Разходи-увелич.и нам.'!AK37+'12.1.Разходи-увелич.и нам.'!AL37)</f>
        <v>1</v>
      </c>
      <c r="X37" s="2246">
        <v>0</v>
      </c>
      <c r="Y37" s="2246">
        <v>0</v>
      </c>
      <c r="Z37" s="795">
        <v>0</v>
      </c>
      <c r="AA37" s="782">
        <v>0</v>
      </c>
      <c r="AB37" s="782">
        <v>0</v>
      </c>
      <c r="AC37" s="782">
        <v>0</v>
      </c>
      <c r="AD37" s="791">
        <v>0</v>
      </c>
      <c r="AE37" s="358"/>
      <c r="AF37" s="358"/>
      <c r="AG37" s="358"/>
      <c r="AH37" s="358"/>
      <c r="AI37" s="358"/>
      <c r="AJ37" s="358"/>
      <c r="AK37" s="358"/>
      <c r="AL37" s="358"/>
      <c r="AM37" s="358"/>
    </row>
    <row r="38" spans="1:39" s="360" customFormat="1">
      <c r="A38" s="1050" t="s">
        <v>615</v>
      </c>
      <c r="B38" s="1042" t="s">
        <v>318</v>
      </c>
      <c r="C38" s="2801">
        <f>'12.1.Разходи-увелич.и нам.'!C38</f>
        <v>5</v>
      </c>
      <c r="D38" s="2422">
        <f>'12.1.Разходи-увелич.и нам.'!D38</f>
        <v>5</v>
      </c>
      <c r="E38" s="2423">
        <f>$C38+('12.1.Разходи-увелич.и нам.'!E38+'12.1.Разходи-увелич.и нам.'!F38)</f>
        <v>5</v>
      </c>
      <c r="F38" s="2423">
        <f>$C38+('12.1.Разходи-увелич.и нам.'!G38+'12.1.Разходи-увелич.и нам.'!H38)</f>
        <v>5</v>
      </c>
      <c r="G38" s="2423">
        <f>$C38+('12.1.Разходи-увелич.и нам.'!I38+'12.1.Разходи-увелич.и нам.'!J38)</f>
        <v>5</v>
      </c>
      <c r="H38" s="2423">
        <f>$C38+('12.1.Разходи-увелич.и нам.'!K38+'12.1.Разходи-увелич.и нам.'!L38)</f>
        <v>5</v>
      </c>
      <c r="I38" s="2424">
        <f>$C38+('12.1.Разходи-увелич.и нам.'!M38+'12.1.Разходи-увелич.и нам.'!N38)</f>
        <v>5</v>
      </c>
      <c r="J38" s="2425">
        <f>'12.1.Разходи-увелич.и нам.'!O38</f>
        <v>1</v>
      </c>
      <c r="K38" s="2422">
        <f>'12.1.Разходи-увелич.и нам.'!P38</f>
        <v>1</v>
      </c>
      <c r="L38" s="2423">
        <f>$J38+('12.1.Разходи-увелич.и нам.'!Q38+'12.1.Разходи-увелич.и нам.'!R38)</f>
        <v>1</v>
      </c>
      <c r="M38" s="2423">
        <f>$J38+('12.1.Разходи-увелич.и нам.'!S38+'12.1.Разходи-увелич.и нам.'!T38)</f>
        <v>1</v>
      </c>
      <c r="N38" s="2423">
        <f>$J38+('12.1.Разходи-увелич.и нам.'!U38+'12.1.Разходи-увелич.и нам.'!V38)</f>
        <v>1</v>
      </c>
      <c r="O38" s="2423">
        <f>$J38+('12.1.Разходи-увелич.и нам.'!W38+'12.1.Разходи-увелич.и нам.'!X38)</f>
        <v>1</v>
      </c>
      <c r="P38" s="2424">
        <f>$J38+('12.1.Разходи-увелич.и нам.'!Y38+'12.1.Разходи-увелич.и нам.'!Z38)</f>
        <v>1</v>
      </c>
      <c r="Q38" s="2425">
        <f>'12.1.Разходи-увелич.и нам.'!AA38</f>
        <v>1</v>
      </c>
      <c r="R38" s="2426">
        <f>'12.1.Разходи-увелич.и нам.'!AB38</f>
        <v>1</v>
      </c>
      <c r="S38" s="2423">
        <f>$Q38+('12.1.Разходи-увелич.и нам.'!AC38+'12.1.Разходи-увелич.и нам.'!AD38)</f>
        <v>1</v>
      </c>
      <c r="T38" s="2423">
        <f>$Q38+('12.1.Разходи-увелич.и нам.'!AE38+'12.1.Разходи-увелич.и нам.'!AF38)</f>
        <v>1</v>
      </c>
      <c r="U38" s="2423">
        <f>$Q38+('12.1.Разходи-увелич.и нам.'!AG38+'12.1.Разходи-увелич.и нам.'!AH38)</f>
        <v>1</v>
      </c>
      <c r="V38" s="2423">
        <f>$Q38+('12.1.Разходи-увелич.и нам.'!AI38+'12.1.Разходи-увелич.и нам.'!AJ38)</f>
        <v>1</v>
      </c>
      <c r="W38" s="2424">
        <f>$Q38+('12.1.Разходи-увелич.и нам.'!AK38+'12.1.Разходи-увелич.и нам.'!AL38)</f>
        <v>1</v>
      </c>
      <c r="X38" s="2246">
        <v>0</v>
      </c>
      <c r="Y38" s="2246">
        <v>0</v>
      </c>
      <c r="Z38" s="795">
        <v>0</v>
      </c>
      <c r="AA38" s="782">
        <v>0</v>
      </c>
      <c r="AB38" s="782">
        <v>0</v>
      </c>
      <c r="AC38" s="782">
        <v>0</v>
      </c>
      <c r="AD38" s="791">
        <v>0</v>
      </c>
      <c r="AE38" s="358"/>
      <c r="AF38" s="358"/>
      <c r="AG38" s="358"/>
      <c r="AH38" s="358"/>
      <c r="AI38" s="358"/>
      <c r="AJ38" s="358"/>
      <c r="AK38" s="358"/>
      <c r="AL38" s="358"/>
      <c r="AM38" s="358"/>
    </row>
    <row r="39" spans="1:39" s="360" customFormat="1">
      <c r="A39" s="1050" t="s">
        <v>616</v>
      </c>
      <c r="B39" s="1042" t="s">
        <v>319</v>
      </c>
      <c r="C39" s="2801">
        <f>'12.1.Разходи-увелич.и нам.'!C39</f>
        <v>0</v>
      </c>
      <c r="D39" s="2422">
        <f>'12.1.Разходи-увелич.и нам.'!D39</f>
        <v>0</v>
      </c>
      <c r="E39" s="2423">
        <f>$C39+('12.1.Разходи-увелич.и нам.'!E39+'12.1.Разходи-увелич.и нам.'!F39)</f>
        <v>0</v>
      </c>
      <c r="F39" s="2423">
        <f>$C39+('12.1.Разходи-увелич.и нам.'!G39+'12.1.Разходи-увелич.и нам.'!H39)</f>
        <v>0</v>
      </c>
      <c r="G39" s="2423">
        <f>$C39+('12.1.Разходи-увелич.и нам.'!I39+'12.1.Разходи-увелич.и нам.'!J39)</f>
        <v>0</v>
      </c>
      <c r="H39" s="2423">
        <f>$C39+('12.1.Разходи-увелич.и нам.'!K39+'12.1.Разходи-увелич.и нам.'!L39)</f>
        <v>0</v>
      </c>
      <c r="I39" s="2424">
        <f>$C39+('12.1.Разходи-увелич.и нам.'!M39+'12.1.Разходи-увелич.и нам.'!N39)</f>
        <v>0</v>
      </c>
      <c r="J39" s="2425">
        <f>'12.1.Разходи-увелич.и нам.'!O39</f>
        <v>0</v>
      </c>
      <c r="K39" s="2422">
        <f>'12.1.Разходи-увелич.и нам.'!P39</f>
        <v>0</v>
      </c>
      <c r="L39" s="2423">
        <f>$J39+('12.1.Разходи-увелич.и нам.'!Q39+'12.1.Разходи-увелич.и нам.'!R39)</f>
        <v>0</v>
      </c>
      <c r="M39" s="2423">
        <f>$J39+('12.1.Разходи-увелич.и нам.'!S39+'12.1.Разходи-увелич.и нам.'!T39)</f>
        <v>0</v>
      </c>
      <c r="N39" s="2423">
        <f>$J39+('12.1.Разходи-увелич.и нам.'!U39+'12.1.Разходи-увелич.и нам.'!V39)</f>
        <v>0</v>
      </c>
      <c r="O39" s="2423">
        <f>$J39+('12.1.Разходи-увелич.и нам.'!W39+'12.1.Разходи-увелич.и нам.'!X39)</f>
        <v>0</v>
      </c>
      <c r="P39" s="2424">
        <f>$J39+('12.1.Разходи-увелич.и нам.'!Y39+'12.1.Разходи-увелич.и нам.'!Z39)</f>
        <v>0</v>
      </c>
      <c r="Q39" s="2425">
        <f>'12.1.Разходи-увелич.и нам.'!AA39</f>
        <v>0</v>
      </c>
      <c r="R39" s="2426">
        <f>'12.1.Разходи-увелич.и нам.'!AB39</f>
        <v>0</v>
      </c>
      <c r="S39" s="2423">
        <f>$Q39+('12.1.Разходи-увелич.и нам.'!AC39+'12.1.Разходи-увелич.и нам.'!AD39)</f>
        <v>0</v>
      </c>
      <c r="T39" s="2423">
        <f>$Q39+('12.1.Разходи-увелич.и нам.'!AE39+'12.1.Разходи-увелич.и нам.'!AF39)</f>
        <v>0</v>
      </c>
      <c r="U39" s="2423">
        <f>$Q39+('12.1.Разходи-увелич.и нам.'!AG39+'12.1.Разходи-увелич.и нам.'!AH39)</f>
        <v>0</v>
      </c>
      <c r="V39" s="2423">
        <f>$Q39+('12.1.Разходи-увелич.и нам.'!AI39+'12.1.Разходи-увелич.и нам.'!AJ39)</f>
        <v>0</v>
      </c>
      <c r="W39" s="2424">
        <f>$Q39+('12.1.Разходи-увелич.и нам.'!AK39+'12.1.Разходи-увелич.и нам.'!AL39)</f>
        <v>0</v>
      </c>
      <c r="X39" s="2246">
        <v>0</v>
      </c>
      <c r="Y39" s="2246">
        <v>0</v>
      </c>
      <c r="Z39" s="795">
        <v>0</v>
      </c>
      <c r="AA39" s="782">
        <v>0</v>
      </c>
      <c r="AB39" s="782">
        <v>0</v>
      </c>
      <c r="AC39" s="782">
        <v>0</v>
      </c>
      <c r="AD39" s="791">
        <v>0</v>
      </c>
      <c r="AE39" s="358"/>
      <c r="AF39" s="358"/>
      <c r="AG39" s="358"/>
      <c r="AH39" s="358"/>
      <c r="AI39" s="358"/>
      <c r="AJ39" s="358"/>
      <c r="AK39" s="358"/>
      <c r="AL39" s="358"/>
      <c r="AM39" s="358"/>
    </row>
    <row r="40" spans="1:39" s="360" customFormat="1">
      <c r="A40" s="1050" t="s">
        <v>617</v>
      </c>
      <c r="B40" s="1042" t="s">
        <v>618</v>
      </c>
      <c r="C40" s="2801">
        <f>'12.1.Разходи-увелич.и нам.'!C40</f>
        <v>0</v>
      </c>
      <c r="D40" s="2422">
        <f>'12.1.Разходи-увелич.и нам.'!D40</f>
        <v>0</v>
      </c>
      <c r="E40" s="2423">
        <f>$C40+('12.1.Разходи-увелич.и нам.'!E40+'12.1.Разходи-увелич.и нам.'!F40)</f>
        <v>0</v>
      </c>
      <c r="F40" s="2423">
        <f>$C40+('12.1.Разходи-увелич.и нам.'!G40+'12.1.Разходи-увелич.и нам.'!H40)</f>
        <v>0</v>
      </c>
      <c r="G40" s="2423">
        <f>$C40+('12.1.Разходи-увелич.и нам.'!I40+'12.1.Разходи-увелич.и нам.'!J40)</f>
        <v>0</v>
      </c>
      <c r="H40" s="2423">
        <f>$C40+('12.1.Разходи-увелич.и нам.'!K40+'12.1.Разходи-увелич.и нам.'!L40)</f>
        <v>0</v>
      </c>
      <c r="I40" s="2424">
        <f>$C40+('12.1.Разходи-увелич.и нам.'!M40+'12.1.Разходи-увелич.и нам.'!N40)</f>
        <v>0</v>
      </c>
      <c r="J40" s="2425">
        <f>'12.1.Разходи-увелич.и нам.'!O40</f>
        <v>0</v>
      </c>
      <c r="K40" s="2422">
        <f>'12.1.Разходи-увелич.и нам.'!P40</f>
        <v>0</v>
      </c>
      <c r="L40" s="2423">
        <f>$J40+('12.1.Разходи-увелич.и нам.'!Q40+'12.1.Разходи-увелич.и нам.'!R40)</f>
        <v>0</v>
      </c>
      <c r="M40" s="2423">
        <f>$J40+('12.1.Разходи-увелич.и нам.'!S40+'12.1.Разходи-увелич.и нам.'!T40)</f>
        <v>0</v>
      </c>
      <c r="N40" s="2423">
        <f>$J40+('12.1.Разходи-увелич.и нам.'!U40+'12.1.Разходи-увелич.и нам.'!V40)</f>
        <v>0</v>
      </c>
      <c r="O40" s="2423">
        <f>$J40+('12.1.Разходи-увелич.и нам.'!W40+'12.1.Разходи-увелич.и нам.'!X40)</f>
        <v>0</v>
      </c>
      <c r="P40" s="2424">
        <f>$J40+('12.1.Разходи-увелич.и нам.'!Y40+'12.1.Разходи-увелич.и нам.'!Z40)</f>
        <v>0</v>
      </c>
      <c r="Q40" s="2425">
        <f>'12.1.Разходи-увелич.и нам.'!AA40</f>
        <v>0</v>
      </c>
      <c r="R40" s="2426">
        <f>'12.1.Разходи-увелич.и нам.'!AB40</f>
        <v>0</v>
      </c>
      <c r="S40" s="2423">
        <f>$Q40+('12.1.Разходи-увелич.и нам.'!AC40+'12.1.Разходи-увелич.и нам.'!AD40)</f>
        <v>0</v>
      </c>
      <c r="T40" s="2423">
        <f>$Q40+('12.1.Разходи-увелич.и нам.'!AE40+'12.1.Разходи-увелич.и нам.'!AF40)</f>
        <v>0</v>
      </c>
      <c r="U40" s="2423">
        <f>$Q40+('12.1.Разходи-увелич.и нам.'!AG40+'12.1.Разходи-увелич.и нам.'!AH40)</f>
        <v>0</v>
      </c>
      <c r="V40" s="2423">
        <f>$Q40+('12.1.Разходи-увелич.и нам.'!AI40+'12.1.Разходи-увелич.и нам.'!AJ40)</f>
        <v>0</v>
      </c>
      <c r="W40" s="2424">
        <f>$Q40+('12.1.Разходи-увелич.и нам.'!AK40+'12.1.Разходи-увелич.и нам.'!AL40)</f>
        <v>0</v>
      </c>
      <c r="X40" s="2246">
        <v>0</v>
      </c>
      <c r="Y40" s="2246">
        <v>0</v>
      </c>
      <c r="Z40" s="795">
        <v>0</v>
      </c>
      <c r="AA40" s="782">
        <v>0</v>
      </c>
      <c r="AB40" s="782">
        <v>0</v>
      </c>
      <c r="AC40" s="782">
        <v>0</v>
      </c>
      <c r="AD40" s="791">
        <v>0</v>
      </c>
      <c r="AE40" s="358"/>
      <c r="AF40" s="358"/>
      <c r="AG40" s="358"/>
      <c r="AH40" s="358"/>
      <c r="AI40" s="358"/>
      <c r="AJ40" s="358"/>
      <c r="AK40" s="358"/>
      <c r="AL40" s="358"/>
      <c r="AM40" s="358"/>
    </row>
    <row r="41" spans="1:39">
      <c r="A41" s="1037" t="s">
        <v>316</v>
      </c>
      <c r="B41" s="1038" t="s">
        <v>321</v>
      </c>
      <c r="C41" s="2425">
        <f>'12.1.Разходи-увелич.и нам.'!C41</f>
        <v>9</v>
      </c>
      <c r="D41" s="2427">
        <f>'12.1.Разходи-увелич.и нам.'!D41</f>
        <v>12</v>
      </c>
      <c r="E41" s="2428">
        <f>$C41+('12.1.Разходи-увелич.и нам.'!E41+'12.1.Разходи-увелич.и нам.'!F41)</f>
        <v>9</v>
      </c>
      <c r="F41" s="2428">
        <f>$C41+('12.1.Разходи-увелич.и нам.'!G41+'12.1.Разходи-увелич.и нам.'!H41)</f>
        <v>9</v>
      </c>
      <c r="G41" s="2428">
        <f>$C41+('12.1.Разходи-увелич.и нам.'!I41+'12.1.Разходи-увелич.и нам.'!J41)</f>
        <v>9</v>
      </c>
      <c r="H41" s="2428">
        <f>$C41+('12.1.Разходи-увелич.и нам.'!K41+'12.1.Разходи-увелич.и нам.'!L41)</f>
        <v>9</v>
      </c>
      <c r="I41" s="1497">
        <f>$C41+('12.1.Разходи-увелич.и нам.'!M41+'12.1.Разходи-увелич.и нам.'!N41)</f>
        <v>9</v>
      </c>
      <c r="J41" s="2425">
        <f>'12.1.Разходи-увелич.и нам.'!O41</f>
        <v>1</v>
      </c>
      <c r="K41" s="2422">
        <f>'12.1.Разходи-увелич.и нам.'!P41</f>
        <v>1</v>
      </c>
      <c r="L41" s="2423">
        <f>$J41+('12.1.Разходи-увелич.и нам.'!Q41+'12.1.Разходи-увелич.и нам.'!R41)</f>
        <v>1</v>
      </c>
      <c r="M41" s="2423">
        <f>$J41+('12.1.Разходи-увелич.и нам.'!S41+'12.1.Разходи-увелич.и нам.'!T41)</f>
        <v>1</v>
      </c>
      <c r="N41" s="2423">
        <f>$J41+('12.1.Разходи-увелич.и нам.'!U41+'12.1.Разходи-увелич.и нам.'!V41)</f>
        <v>1</v>
      </c>
      <c r="O41" s="2423">
        <f>$J41+('12.1.Разходи-увелич.и нам.'!W41+'12.1.Разходи-увелич.и нам.'!X41)</f>
        <v>1</v>
      </c>
      <c r="P41" s="2424">
        <f>$J41+('12.1.Разходи-увелич.и нам.'!Y41+'12.1.Разходи-увелич.и нам.'!Z41)</f>
        <v>1</v>
      </c>
      <c r="Q41" s="2425">
        <f>'12.1.Разходи-увелич.и нам.'!AA41</f>
        <v>1</v>
      </c>
      <c r="R41" s="2426">
        <f>'12.1.Разходи-увелич.и нам.'!AB41</f>
        <v>1</v>
      </c>
      <c r="S41" s="2423">
        <f>$Q41+('12.1.Разходи-увелич.и нам.'!AC41+'12.1.Разходи-увелич.и нам.'!AD41)</f>
        <v>1</v>
      </c>
      <c r="T41" s="2423">
        <f>$Q41+('12.1.Разходи-увелич.и нам.'!AE41+'12.1.Разходи-увелич.и нам.'!AF41)</f>
        <v>1</v>
      </c>
      <c r="U41" s="2423">
        <f>$Q41+('12.1.Разходи-увелич.и нам.'!AG41+'12.1.Разходи-увелич.и нам.'!AH41)</f>
        <v>1</v>
      </c>
      <c r="V41" s="2423">
        <f>$Q41+('12.1.Разходи-увелич.и нам.'!AI41+'12.1.Разходи-увелич.и нам.'!AJ41)</f>
        <v>1</v>
      </c>
      <c r="W41" s="2424">
        <f>$Q41+('12.1.Разходи-увелич.и нам.'!AK41+'12.1.Разходи-увелич.и нам.'!AL41)</f>
        <v>1</v>
      </c>
      <c r="X41" s="2246">
        <v>0</v>
      </c>
      <c r="Y41" s="2246">
        <v>0</v>
      </c>
      <c r="Z41" s="795">
        <v>0</v>
      </c>
      <c r="AA41" s="782">
        <v>0</v>
      </c>
      <c r="AB41" s="782">
        <v>0</v>
      </c>
      <c r="AC41" s="782">
        <v>0</v>
      </c>
      <c r="AD41" s="791">
        <v>0</v>
      </c>
      <c r="AE41" s="358"/>
      <c r="AF41" s="358"/>
      <c r="AG41" s="358"/>
      <c r="AH41" s="358"/>
      <c r="AI41" s="358"/>
      <c r="AJ41" s="358"/>
      <c r="AK41" s="358"/>
      <c r="AL41" s="358"/>
      <c r="AM41" s="358"/>
    </row>
    <row r="42" spans="1:39">
      <c r="A42" s="1037" t="s">
        <v>320</v>
      </c>
      <c r="B42" s="1038" t="s">
        <v>323</v>
      </c>
      <c r="C42" s="2425">
        <f>'12.1.Разходи-увелич.и нам.'!C42</f>
        <v>111</v>
      </c>
      <c r="D42" s="2427">
        <f>'12.1.Разходи-увелич.и нам.'!D42</f>
        <v>105</v>
      </c>
      <c r="E42" s="2428">
        <f>$C42+('12.1.Разходи-увелич.и нам.'!E42+'12.1.Разходи-увелич.и нам.'!F42)</f>
        <v>111</v>
      </c>
      <c r="F42" s="2428">
        <f>$C42+('12.1.Разходи-увелич.и нам.'!G42+'12.1.Разходи-увелич.и нам.'!H42)</f>
        <v>111</v>
      </c>
      <c r="G42" s="2428">
        <f>$C42+('12.1.Разходи-увелич.и нам.'!I42+'12.1.Разходи-увелич.и нам.'!J42)</f>
        <v>111</v>
      </c>
      <c r="H42" s="2428">
        <f>$C42+('12.1.Разходи-увелич.и нам.'!K42+'12.1.Разходи-увелич.и нам.'!L42)</f>
        <v>111</v>
      </c>
      <c r="I42" s="1497">
        <f>$C42+('12.1.Разходи-увелич.и нам.'!M42+'12.1.Разходи-увелич.и нам.'!N42)</f>
        <v>111</v>
      </c>
      <c r="J42" s="2425">
        <f>'12.1.Разходи-увелич.и нам.'!O42</f>
        <v>4</v>
      </c>
      <c r="K42" s="2422">
        <f>'12.1.Разходи-увелич.и нам.'!P42</f>
        <v>4</v>
      </c>
      <c r="L42" s="2423">
        <f>$J42+('12.1.Разходи-увелич.и нам.'!Q42+'12.1.Разходи-увелич.и нам.'!R42)</f>
        <v>4</v>
      </c>
      <c r="M42" s="2423">
        <f>$J42+('12.1.Разходи-увелич.и нам.'!S42+'12.1.Разходи-увелич.и нам.'!T42)</f>
        <v>4</v>
      </c>
      <c r="N42" s="2423">
        <f>$J42+('12.1.Разходи-увелич.и нам.'!U42+'12.1.Разходи-увелич.и нам.'!V42)</f>
        <v>4</v>
      </c>
      <c r="O42" s="2423">
        <f>$J42+('12.1.Разходи-увелич.и нам.'!W42+'12.1.Разходи-увелич.и нам.'!X42)</f>
        <v>4</v>
      </c>
      <c r="P42" s="2424">
        <f>$J42+('12.1.Разходи-увелич.и нам.'!Y42+'12.1.Разходи-увелич.и нам.'!Z42)</f>
        <v>4</v>
      </c>
      <c r="Q42" s="2425">
        <f>'12.1.Разходи-увелич.и нам.'!AA42</f>
        <v>9</v>
      </c>
      <c r="R42" s="2426">
        <f>'12.1.Разходи-увелич.и нам.'!AB42</f>
        <v>8</v>
      </c>
      <c r="S42" s="2423">
        <f>$Q42+('12.1.Разходи-увелич.и нам.'!AC42+'12.1.Разходи-увелич.и нам.'!AD42)</f>
        <v>9</v>
      </c>
      <c r="T42" s="2423">
        <f>$Q42+('12.1.Разходи-увелич.и нам.'!AE42+'12.1.Разходи-увелич.и нам.'!AF42)</f>
        <v>9</v>
      </c>
      <c r="U42" s="2423">
        <f>$Q42+('12.1.Разходи-увелич.и нам.'!AG42+'12.1.Разходи-увелич.и нам.'!AH42)</f>
        <v>9</v>
      </c>
      <c r="V42" s="2423">
        <f>$Q42+('12.1.Разходи-увелич.и нам.'!AI42+'12.1.Разходи-увелич.и нам.'!AJ42)</f>
        <v>9</v>
      </c>
      <c r="W42" s="2424">
        <f>$Q42+('12.1.Разходи-увелич.и нам.'!AK42+'12.1.Разходи-увелич.и нам.'!AL42)</f>
        <v>9</v>
      </c>
      <c r="X42" s="2246">
        <v>0</v>
      </c>
      <c r="Y42" s="2246">
        <v>0</v>
      </c>
      <c r="Z42" s="795">
        <v>0</v>
      </c>
      <c r="AA42" s="782">
        <v>0</v>
      </c>
      <c r="AB42" s="782">
        <v>0</v>
      </c>
      <c r="AC42" s="782">
        <v>0</v>
      </c>
      <c r="AD42" s="791">
        <v>0</v>
      </c>
      <c r="AE42" s="358"/>
      <c r="AF42" s="358"/>
      <c r="AG42" s="358"/>
      <c r="AH42" s="358"/>
      <c r="AI42" s="358"/>
      <c r="AJ42" s="358"/>
      <c r="AK42" s="358"/>
      <c r="AL42" s="358"/>
      <c r="AM42" s="358"/>
    </row>
    <row r="43" spans="1:39">
      <c r="A43" s="1037" t="s">
        <v>322</v>
      </c>
      <c r="B43" s="1036" t="s">
        <v>846</v>
      </c>
      <c r="C43" s="2425">
        <f>'12.1.Разходи-увелич.и нам.'!C43</f>
        <v>10</v>
      </c>
      <c r="D43" s="2427">
        <f>'12.1.Разходи-увелич.и нам.'!D43</f>
        <v>5</v>
      </c>
      <c r="E43" s="2428">
        <f>$C43+('12.1.Разходи-увелич.и нам.'!E43+'12.1.Разходи-увелич.и нам.'!F43)</f>
        <v>10</v>
      </c>
      <c r="F43" s="2428">
        <f>$C43+('12.1.Разходи-увелич.и нам.'!G43+'12.1.Разходи-увелич.и нам.'!H43)</f>
        <v>10</v>
      </c>
      <c r="G43" s="2428">
        <f>$C43+('12.1.Разходи-увелич.и нам.'!I43+'12.1.Разходи-увелич.и нам.'!J43)</f>
        <v>10</v>
      </c>
      <c r="H43" s="2428">
        <f>$C43+('12.1.Разходи-увелич.и нам.'!K43+'12.1.Разходи-увелич.и нам.'!L43)</f>
        <v>10</v>
      </c>
      <c r="I43" s="1497">
        <f>$C43+('12.1.Разходи-увелич.и нам.'!M43+'12.1.Разходи-увелич.и нам.'!N43)</f>
        <v>10</v>
      </c>
      <c r="J43" s="2425">
        <f>'12.1.Разходи-увелич.и нам.'!O43</f>
        <v>0</v>
      </c>
      <c r="K43" s="2422">
        <f>'12.1.Разходи-увелич.и нам.'!P43</f>
        <v>0</v>
      </c>
      <c r="L43" s="2423">
        <f>$J43+('12.1.Разходи-увелич.и нам.'!Q43+'12.1.Разходи-увелич.и нам.'!R43)</f>
        <v>0</v>
      </c>
      <c r="M43" s="2423">
        <f>$J43+('12.1.Разходи-увелич.и нам.'!S43+'12.1.Разходи-увелич.и нам.'!T43)</f>
        <v>0</v>
      </c>
      <c r="N43" s="2423">
        <f>$J43+('12.1.Разходи-увелич.и нам.'!U43+'12.1.Разходи-увелич.и нам.'!V43)</f>
        <v>0</v>
      </c>
      <c r="O43" s="2423">
        <f>$J43+('12.1.Разходи-увелич.и нам.'!W43+'12.1.Разходи-увелич.и нам.'!X43)</f>
        <v>0</v>
      </c>
      <c r="P43" s="2424">
        <f>$J43+('12.1.Разходи-увелич.и нам.'!Y43+'12.1.Разходи-увелич.и нам.'!Z43)</f>
        <v>0</v>
      </c>
      <c r="Q43" s="2425">
        <f>'12.1.Разходи-увелич.и нам.'!AA43</f>
        <v>0</v>
      </c>
      <c r="R43" s="2426">
        <f>'12.1.Разходи-увелич.и нам.'!AB43</f>
        <v>0</v>
      </c>
      <c r="S43" s="2423">
        <f>$Q43+('12.1.Разходи-увелич.и нам.'!AC43+'12.1.Разходи-увелич.и нам.'!AD43)</f>
        <v>0</v>
      </c>
      <c r="T43" s="2423">
        <f>$Q43+('12.1.Разходи-увелич.и нам.'!AE43+'12.1.Разходи-увелич.и нам.'!AF43)</f>
        <v>0</v>
      </c>
      <c r="U43" s="2423">
        <f>$Q43+('12.1.Разходи-увелич.и нам.'!AG43+'12.1.Разходи-увелич.и нам.'!AH43)</f>
        <v>0</v>
      </c>
      <c r="V43" s="2423">
        <f>$Q43+('12.1.Разходи-увелич.и нам.'!AI43+'12.1.Разходи-увелич.и нам.'!AJ43)</f>
        <v>0</v>
      </c>
      <c r="W43" s="2424">
        <f>$Q43+('12.1.Разходи-увелич.и нам.'!AK43+'12.1.Разходи-увелич.и нам.'!AL43)</f>
        <v>0</v>
      </c>
      <c r="X43" s="2246">
        <v>0</v>
      </c>
      <c r="Y43" s="2246">
        <v>0</v>
      </c>
      <c r="Z43" s="795">
        <v>0</v>
      </c>
      <c r="AA43" s="782">
        <v>0</v>
      </c>
      <c r="AB43" s="782">
        <v>0</v>
      </c>
      <c r="AC43" s="782">
        <v>0</v>
      </c>
      <c r="AD43" s="791">
        <v>0</v>
      </c>
      <c r="AE43" s="358"/>
      <c r="AF43" s="358"/>
      <c r="AG43" s="358"/>
      <c r="AH43" s="358"/>
      <c r="AI43" s="358"/>
      <c r="AJ43" s="358"/>
      <c r="AK43" s="358"/>
      <c r="AL43" s="358"/>
      <c r="AM43" s="358"/>
    </row>
    <row r="44" spans="1:39">
      <c r="A44" s="1037" t="s">
        <v>324</v>
      </c>
      <c r="B44" s="1036" t="s">
        <v>919</v>
      </c>
      <c r="C44" s="2425">
        <f>'12.1.Разходи-увелич.и нам.'!C44</f>
        <v>36</v>
      </c>
      <c r="D44" s="2427">
        <f>'12.1.Разходи-увелич.и нам.'!D44</f>
        <v>40</v>
      </c>
      <c r="E44" s="2428">
        <f>$C44+('12.1.Разходи-увелич.и нам.'!E44+'12.1.Разходи-увелич.и нам.'!F44)</f>
        <v>36</v>
      </c>
      <c r="F44" s="2428">
        <f>$C44+('12.1.Разходи-увелич.и нам.'!G44+'12.1.Разходи-увелич.и нам.'!H44)</f>
        <v>36</v>
      </c>
      <c r="G44" s="2428">
        <f>$C44+('12.1.Разходи-увелич.и нам.'!I44+'12.1.Разходи-увелич.и нам.'!J44)</f>
        <v>36</v>
      </c>
      <c r="H44" s="2428">
        <f>$C44+('12.1.Разходи-увелич.и нам.'!K44+'12.1.Разходи-увелич.и нам.'!L44)</f>
        <v>36</v>
      </c>
      <c r="I44" s="1497">
        <f>$C44+('12.1.Разходи-увелич.и нам.'!M44+'12.1.Разходи-увелич.и нам.'!N44)</f>
        <v>36</v>
      </c>
      <c r="J44" s="2425">
        <f>'12.1.Разходи-увелич.и нам.'!O44</f>
        <v>7</v>
      </c>
      <c r="K44" s="2422">
        <f>'12.1.Разходи-увелич.и нам.'!P44</f>
        <v>2</v>
      </c>
      <c r="L44" s="2423">
        <f>$J44+('12.1.Разходи-увелич.и нам.'!Q44+'12.1.Разходи-увелич.и нам.'!R44)</f>
        <v>7</v>
      </c>
      <c r="M44" s="2423">
        <f>$J44+('12.1.Разходи-увелич.и нам.'!S44+'12.1.Разходи-увелич.и нам.'!T44)</f>
        <v>7</v>
      </c>
      <c r="N44" s="2423">
        <f>$J44+('12.1.Разходи-увелич.и нам.'!U44+'12.1.Разходи-увелич.и нам.'!V44)</f>
        <v>7</v>
      </c>
      <c r="O44" s="2423">
        <f>$J44+('12.1.Разходи-увелич.и нам.'!W44+'12.1.Разходи-увелич.и нам.'!X44)</f>
        <v>7</v>
      </c>
      <c r="P44" s="2424">
        <f>$J44+('12.1.Разходи-увелич.и нам.'!Y44+'12.1.Разходи-увелич.и нам.'!Z44)</f>
        <v>7</v>
      </c>
      <c r="Q44" s="2425">
        <f>'12.1.Разходи-увелич.и нам.'!AA44</f>
        <v>1</v>
      </c>
      <c r="R44" s="2426">
        <f>'12.1.Разходи-увелич.и нам.'!AB44</f>
        <v>0</v>
      </c>
      <c r="S44" s="2423">
        <f>$Q44+('12.1.Разходи-увелич.и нам.'!AC44+'12.1.Разходи-увелич.и нам.'!AD44)</f>
        <v>1</v>
      </c>
      <c r="T44" s="2423">
        <f>$Q44+('12.1.Разходи-увелич.и нам.'!AE44+'12.1.Разходи-увелич.и нам.'!AF44)</f>
        <v>1</v>
      </c>
      <c r="U44" s="2423">
        <f>$Q44+('12.1.Разходи-увелич.и нам.'!AG44+'12.1.Разходи-увелич.и нам.'!AH44)</f>
        <v>1</v>
      </c>
      <c r="V44" s="2423">
        <f>$Q44+('12.1.Разходи-увелич.и нам.'!AI44+'12.1.Разходи-увелич.и нам.'!AJ44)</f>
        <v>1</v>
      </c>
      <c r="W44" s="2424">
        <f>$Q44+('12.1.Разходи-увелич.и нам.'!AK44+'12.1.Разходи-увелич.и нам.'!AL44)</f>
        <v>1</v>
      </c>
      <c r="X44" s="2246">
        <v>0</v>
      </c>
      <c r="Y44" s="2246">
        <v>0</v>
      </c>
      <c r="Z44" s="795">
        <v>0</v>
      </c>
      <c r="AA44" s="782">
        <v>0</v>
      </c>
      <c r="AB44" s="782">
        <v>0</v>
      </c>
      <c r="AC44" s="782">
        <v>0</v>
      </c>
      <c r="AD44" s="791">
        <v>0</v>
      </c>
      <c r="AE44" s="358"/>
      <c r="AF44" s="358"/>
      <c r="AG44" s="358"/>
      <c r="AH44" s="358"/>
      <c r="AI44" s="358"/>
      <c r="AJ44" s="358"/>
      <c r="AK44" s="358"/>
      <c r="AL44" s="358"/>
      <c r="AM44" s="358"/>
    </row>
    <row r="45" spans="1:39">
      <c r="A45" s="1037" t="s">
        <v>326</v>
      </c>
      <c r="B45" s="1038" t="s">
        <v>619</v>
      </c>
      <c r="C45" s="2425">
        <f>'12.1.Разходи-увелич.и нам.'!C45</f>
        <v>13</v>
      </c>
      <c r="D45" s="2427">
        <f>'12.1.Разходи-увелич.и нам.'!D45</f>
        <v>3</v>
      </c>
      <c r="E45" s="2428">
        <f>$C45+('12.1.Разходи-увелич.и нам.'!E45+'12.1.Разходи-увелич.и нам.'!F45)</f>
        <v>13</v>
      </c>
      <c r="F45" s="2428">
        <f>$C45+('12.1.Разходи-увелич.и нам.'!G45+'12.1.Разходи-увелич.и нам.'!H45)</f>
        <v>13</v>
      </c>
      <c r="G45" s="2428">
        <f>$C45+('12.1.Разходи-увелич.и нам.'!I45+'12.1.Разходи-увелич.и нам.'!J45)</f>
        <v>13</v>
      </c>
      <c r="H45" s="2428">
        <f>$C45+('12.1.Разходи-увелич.и нам.'!K45+'12.1.Разходи-увелич.и нам.'!L45)</f>
        <v>13</v>
      </c>
      <c r="I45" s="1497">
        <f>$C45+('12.1.Разходи-увелич.и нам.'!M45+'12.1.Разходи-увелич.и нам.'!N45)</f>
        <v>13</v>
      </c>
      <c r="J45" s="2425">
        <f>'12.1.Разходи-увелич.и нам.'!O45</f>
        <v>2</v>
      </c>
      <c r="K45" s="2422">
        <f>'12.1.Разходи-увелич.и нам.'!P45</f>
        <v>0</v>
      </c>
      <c r="L45" s="2423">
        <f>$J45+('12.1.Разходи-увелич.и нам.'!Q45+'12.1.Разходи-увелич.и нам.'!R45)</f>
        <v>2</v>
      </c>
      <c r="M45" s="2423">
        <f>$J45+('12.1.Разходи-увелич.и нам.'!S45+'12.1.Разходи-увелич.и нам.'!T45)</f>
        <v>2</v>
      </c>
      <c r="N45" s="2423">
        <f>$J45+('12.1.Разходи-увелич.и нам.'!U45+'12.1.Разходи-увелич.и нам.'!V45)</f>
        <v>2</v>
      </c>
      <c r="O45" s="2423">
        <f>$J45+('12.1.Разходи-увелич.и нам.'!W45+'12.1.Разходи-увелич.и нам.'!X45)</f>
        <v>2</v>
      </c>
      <c r="P45" s="2424">
        <f>$J45+('12.1.Разходи-увелич.и нам.'!Y45+'12.1.Разходи-увелич.и нам.'!Z45)</f>
        <v>2</v>
      </c>
      <c r="Q45" s="2425">
        <f>'12.1.Разходи-увелич.и нам.'!AA45</f>
        <v>2</v>
      </c>
      <c r="R45" s="2426">
        <f>'12.1.Разходи-увелич.и нам.'!AB45</f>
        <v>1</v>
      </c>
      <c r="S45" s="2423">
        <f>$Q45+('12.1.Разходи-увелич.и нам.'!AC45+'12.1.Разходи-увелич.и нам.'!AD45)</f>
        <v>2</v>
      </c>
      <c r="T45" s="2423">
        <f>$Q45+('12.1.Разходи-увелич.и нам.'!AE45+'12.1.Разходи-увелич.и нам.'!AF45)</f>
        <v>2</v>
      </c>
      <c r="U45" s="2423">
        <f>$Q45+('12.1.Разходи-увелич.и нам.'!AG45+'12.1.Разходи-увелич.и нам.'!AH45)</f>
        <v>2</v>
      </c>
      <c r="V45" s="2423">
        <f>$Q45+('12.1.Разходи-увелич.и нам.'!AI45+'12.1.Разходи-увелич.и нам.'!AJ45)</f>
        <v>2</v>
      </c>
      <c r="W45" s="2424">
        <f>$Q45+('12.1.Разходи-увелич.и нам.'!AK45+'12.1.Разходи-увелич.и нам.'!AL45)</f>
        <v>2</v>
      </c>
      <c r="X45" s="2246">
        <v>0</v>
      </c>
      <c r="Y45" s="2246">
        <v>0</v>
      </c>
      <c r="Z45" s="795">
        <v>0</v>
      </c>
      <c r="AA45" s="782">
        <v>0</v>
      </c>
      <c r="AB45" s="782">
        <v>0</v>
      </c>
      <c r="AC45" s="782">
        <v>0</v>
      </c>
      <c r="AD45" s="791">
        <v>0</v>
      </c>
    </row>
    <row r="46" spans="1:39">
      <c r="A46" s="1037" t="s">
        <v>620</v>
      </c>
      <c r="B46" s="1038" t="s">
        <v>859</v>
      </c>
      <c r="C46" s="2425">
        <f>'12.1.Разходи-увелич.и нам.'!C46</f>
        <v>365</v>
      </c>
      <c r="D46" s="2427">
        <f>'12.1.Разходи-увелич.и нам.'!D46</f>
        <v>285</v>
      </c>
      <c r="E46" s="2428">
        <f>$C46+('12.1.Разходи-увелич.и нам.'!E46+'12.1.Разходи-увелич.и нам.'!F46)</f>
        <v>365</v>
      </c>
      <c r="F46" s="2428">
        <f>$C46+('12.1.Разходи-увелич.и нам.'!G46+'12.1.Разходи-увелич.и нам.'!H46)</f>
        <v>365</v>
      </c>
      <c r="G46" s="2428">
        <f>$C46+('12.1.Разходи-увелич.и нам.'!I46+'12.1.Разходи-увелич.и нам.'!J46)</f>
        <v>365</v>
      </c>
      <c r="H46" s="2428">
        <f>$C46+('12.1.Разходи-увелич.и нам.'!K46+'12.1.Разходи-увелич.и нам.'!L46)</f>
        <v>365</v>
      </c>
      <c r="I46" s="1497">
        <f>$C46+('12.1.Разходи-увелич.и нам.'!M46+'12.1.Разходи-увелич.и нам.'!N46)</f>
        <v>365</v>
      </c>
      <c r="J46" s="2425">
        <f>'12.1.Разходи-увелич.и нам.'!O46</f>
        <v>1</v>
      </c>
      <c r="K46" s="2422">
        <f>'12.1.Разходи-увелич.и нам.'!P46</f>
        <v>2</v>
      </c>
      <c r="L46" s="2423">
        <f>$J46+('12.1.Разходи-увелич.и нам.'!Q46+'12.1.Разходи-увелич.и нам.'!R46)</f>
        <v>1</v>
      </c>
      <c r="M46" s="2423">
        <f>$J46+('12.1.Разходи-увелич.и нам.'!S46+'12.1.Разходи-увелич.и нам.'!T46)</f>
        <v>1</v>
      </c>
      <c r="N46" s="2423">
        <f>$J46+('12.1.Разходи-увелич.и нам.'!U46+'12.1.Разходи-увелич.и нам.'!V46)</f>
        <v>1</v>
      </c>
      <c r="O46" s="2423">
        <f>$J46+('12.1.Разходи-увелич.и нам.'!W46+'12.1.Разходи-увелич.и нам.'!X46)</f>
        <v>1</v>
      </c>
      <c r="P46" s="2424">
        <f>$J46+('12.1.Разходи-увелич.и нам.'!Y46+'12.1.Разходи-увелич.и нам.'!Z46)</f>
        <v>1</v>
      </c>
      <c r="Q46" s="2425">
        <f>'12.1.Разходи-увелич.и нам.'!AA46</f>
        <v>7</v>
      </c>
      <c r="R46" s="2426">
        <f>'12.1.Разходи-увелич.и нам.'!AB46</f>
        <v>0</v>
      </c>
      <c r="S46" s="2423">
        <f>$Q46+('12.1.Разходи-увелич.и нам.'!AC46+'12.1.Разходи-увелич.и нам.'!AD46)</f>
        <v>7</v>
      </c>
      <c r="T46" s="2423">
        <f>$Q46+('12.1.Разходи-увелич.и нам.'!AE46+'12.1.Разходи-увелич.и нам.'!AF46)</f>
        <v>7</v>
      </c>
      <c r="U46" s="2423">
        <f>$Q46+('12.1.Разходи-увелич.и нам.'!AG46+'12.1.Разходи-увелич.и нам.'!AH46)</f>
        <v>7</v>
      </c>
      <c r="V46" s="2423">
        <f>$Q46+('12.1.Разходи-увелич.и нам.'!AI46+'12.1.Разходи-увелич.и нам.'!AJ46)</f>
        <v>7</v>
      </c>
      <c r="W46" s="2424">
        <f>$Q46+('12.1.Разходи-увелич.и нам.'!AK46+'12.1.Разходи-увелич.и нам.'!AL46)</f>
        <v>7</v>
      </c>
      <c r="X46" s="2246">
        <v>1</v>
      </c>
      <c r="Y46" s="2246">
        <v>0</v>
      </c>
      <c r="Z46" s="795">
        <v>1</v>
      </c>
      <c r="AA46" s="782">
        <v>1</v>
      </c>
      <c r="AB46" s="782">
        <v>1</v>
      </c>
      <c r="AC46" s="782">
        <v>1</v>
      </c>
      <c r="AD46" s="791">
        <v>1</v>
      </c>
    </row>
    <row r="47" spans="1:39">
      <c r="A47" s="1037" t="s">
        <v>811</v>
      </c>
      <c r="B47" s="1036" t="s">
        <v>847</v>
      </c>
      <c r="C47" s="2425">
        <f>'12.1.Разходи-увелич.и нам.'!C47</f>
        <v>0</v>
      </c>
      <c r="D47" s="2427">
        <f>'12.1.Разходи-увелич.и нам.'!D47</f>
        <v>0</v>
      </c>
      <c r="E47" s="2428">
        <f>$C47+('12.1.Разходи-увелич.и нам.'!E47+'12.1.Разходи-увелич.и нам.'!F47)</f>
        <v>0</v>
      </c>
      <c r="F47" s="2428">
        <f>$C47+('12.1.Разходи-увелич.и нам.'!G47+'12.1.Разходи-увелич.и нам.'!H47)</f>
        <v>0</v>
      </c>
      <c r="G47" s="2428">
        <f>$C47+('12.1.Разходи-увелич.и нам.'!I47+'12.1.Разходи-увелич.и нам.'!J47)</f>
        <v>0</v>
      </c>
      <c r="H47" s="2428">
        <f>$C47+('12.1.Разходи-увелич.и нам.'!K47+'12.1.Разходи-увелич.и нам.'!L47)</f>
        <v>0</v>
      </c>
      <c r="I47" s="1497">
        <f>$C47+('12.1.Разходи-увелич.и нам.'!M47+'12.1.Разходи-увелич.и нам.'!N47)</f>
        <v>0</v>
      </c>
      <c r="J47" s="2425">
        <f>'12.1.Разходи-увелич.и нам.'!O47</f>
        <v>0</v>
      </c>
      <c r="K47" s="2422">
        <f>'12.1.Разходи-увелич.и нам.'!P47</f>
        <v>0</v>
      </c>
      <c r="L47" s="2423">
        <f>$J47+('12.1.Разходи-увелич.и нам.'!Q47+'12.1.Разходи-увелич.и нам.'!R47)</f>
        <v>0</v>
      </c>
      <c r="M47" s="2423">
        <f>$J47+('12.1.Разходи-увелич.и нам.'!S47+'12.1.Разходи-увелич.и нам.'!T47)</f>
        <v>0</v>
      </c>
      <c r="N47" s="2423">
        <f>$J47+('12.1.Разходи-увелич.и нам.'!U47+'12.1.Разходи-увелич.и нам.'!V47)</f>
        <v>0</v>
      </c>
      <c r="O47" s="2423">
        <f>$J47+('12.1.Разходи-увелич.и нам.'!W47+'12.1.Разходи-увелич.и нам.'!X47)</f>
        <v>0</v>
      </c>
      <c r="P47" s="2424">
        <f>$J47+('12.1.Разходи-увелич.и нам.'!Y47+'12.1.Разходи-увелич.и нам.'!Z47)</f>
        <v>0</v>
      </c>
      <c r="Q47" s="2425">
        <f>'12.1.Разходи-увелич.и нам.'!AA47</f>
        <v>0</v>
      </c>
      <c r="R47" s="2426">
        <f>'12.1.Разходи-увелич.и нам.'!AB47</f>
        <v>0</v>
      </c>
      <c r="S47" s="2423">
        <f>$Q47+('12.1.Разходи-увелич.и нам.'!AC47+'12.1.Разходи-увелич.и нам.'!AD47)</f>
        <v>0</v>
      </c>
      <c r="T47" s="2423">
        <f>$Q47+('12.1.Разходи-увелич.и нам.'!AE47+'12.1.Разходи-увелич.и нам.'!AF47)</f>
        <v>0</v>
      </c>
      <c r="U47" s="2423">
        <f>$Q47+('12.1.Разходи-увелич.и нам.'!AG47+'12.1.Разходи-увелич.и нам.'!AH47)</f>
        <v>0</v>
      </c>
      <c r="V47" s="2423">
        <f>$Q47+('12.1.Разходи-увелич.и нам.'!AI47+'12.1.Разходи-увелич.и нам.'!AJ47)</f>
        <v>0</v>
      </c>
      <c r="W47" s="2424">
        <f>$Q47+('12.1.Разходи-увелич.и нам.'!AK47+'12.1.Разходи-увелич.и нам.'!AL47)</f>
        <v>0</v>
      </c>
      <c r="X47" s="2246">
        <v>0</v>
      </c>
      <c r="Y47" s="2246">
        <v>0</v>
      </c>
      <c r="Z47" s="795">
        <v>0</v>
      </c>
      <c r="AA47" s="782">
        <v>0</v>
      </c>
      <c r="AB47" s="782">
        <v>0</v>
      </c>
      <c r="AC47" s="782">
        <v>0</v>
      </c>
      <c r="AD47" s="791">
        <v>0</v>
      </c>
    </row>
    <row r="48" spans="1:39">
      <c r="A48" s="1089" t="s">
        <v>918</v>
      </c>
      <c r="B48" s="1038" t="s">
        <v>1000</v>
      </c>
      <c r="C48" s="2425">
        <f>'12.1.Разходи-увелич.и нам.'!C48</f>
        <v>0</v>
      </c>
      <c r="D48" s="2427">
        <f>'12.1.Разходи-увелич.и нам.'!D48</f>
        <v>0</v>
      </c>
      <c r="E48" s="2428">
        <f>$C48+('12.1.Разходи-увелич.и нам.'!E48+'12.1.Разходи-увелич.и нам.'!F48)</f>
        <v>0</v>
      </c>
      <c r="F48" s="2428">
        <f>$C48+('12.1.Разходи-увелич.и нам.'!G48+'12.1.Разходи-увелич.и нам.'!H48)</f>
        <v>0</v>
      </c>
      <c r="G48" s="2428">
        <f>$C48+('12.1.Разходи-увелич.и нам.'!I48+'12.1.Разходи-увелич.и нам.'!J48)</f>
        <v>0</v>
      </c>
      <c r="H48" s="2428">
        <f>$C48+('12.1.Разходи-увелич.и нам.'!K48+'12.1.Разходи-увелич.и нам.'!L48)</f>
        <v>0</v>
      </c>
      <c r="I48" s="1497">
        <f>$C48+('12.1.Разходи-увелич.и нам.'!M48+'12.1.Разходи-увелич.и нам.'!N48)</f>
        <v>0</v>
      </c>
      <c r="J48" s="2425">
        <f>'12.1.Разходи-увелич.и нам.'!O48</f>
        <v>0</v>
      </c>
      <c r="K48" s="2422">
        <f>'12.1.Разходи-увелич.и нам.'!P48</f>
        <v>0</v>
      </c>
      <c r="L48" s="2423">
        <f>$J48+('12.1.Разходи-увелич.и нам.'!Q48+'12.1.Разходи-увелич.и нам.'!R48)</f>
        <v>0</v>
      </c>
      <c r="M48" s="2423">
        <f>$J48+('12.1.Разходи-увелич.и нам.'!S48+'12.1.Разходи-увелич.и нам.'!T48)</f>
        <v>0</v>
      </c>
      <c r="N48" s="2423">
        <f>$J48+('12.1.Разходи-увелич.и нам.'!U48+'12.1.Разходи-увелич.и нам.'!V48)</f>
        <v>0</v>
      </c>
      <c r="O48" s="2423">
        <f>$J48+('12.1.Разходи-увелич.и нам.'!W48+'12.1.Разходи-увелич.и нам.'!X48)</f>
        <v>0</v>
      </c>
      <c r="P48" s="2424">
        <f>$J48+('12.1.Разходи-увелич.и нам.'!Y48+'12.1.Разходи-увелич.и нам.'!Z48)</f>
        <v>0</v>
      </c>
      <c r="Q48" s="2425">
        <f>'12.1.Разходи-увелич.и нам.'!AA48</f>
        <v>0</v>
      </c>
      <c r="R48" s="2426">
        <f>'12.1.Разходи-увелич.и нам.'!AB48</f>
        <v>0</v>
      </c>
      <c r="S48" s="2423">
        <f>$Q48+('12.1.Разходи-увелич.и нам.'!AC48+'12.1.Разходи-увелич.и нам.'!AD48)</f>
        <v>0</v>
      </c>
      <c r="T48" s="2423">
        <f>$Q48+('12.1.Разходи-увелич.и нам.'!AE48+'12.1.Разходи-увелич.и нам.'!AF48)</f>
        <v>0</v>
      </c>
      <c r="U48" s="2423">
        <f>$Q48+('12.1.Разходи-увелич.и нам.'!AG48+'12.1.Разходи-увелич.и нам.'!AH48)</f>
        <v>0</v>
      </c>
      <c r="V48" s="2423">
        <f>$Q48+('12.1.Разходи-увелич.и нам.'!AI48+'12.1.Разходи-увелич.и нам.'!AJ48)</f>
        <v>0</v>
      </c>
      <c r="W48" s="2424">
        <f>$Q48+('12.1.Разходи-увелич.и нам.'!AK48+'12.1.Разходи-увелич.и нам.'!AL48)</f>
        <v>0</v>
      </c>
      <c r="X48" s="2246">
        <v>0</v>
      </c>
      <c r="Y48" s="2246">
        <v>0</v>
      </c>
      <c r="Z48" s="795">
        <v>0</v>
      </c>
      <c r="AA48" s="782">
        <v>0</v>
      </c>
      <c r="AB48" s="782">
        <v>0</v>
      </c>
      <c r="AC48" s="782">
        <v>0</v>
      </c>
      <c r="AD48" s="791">
        <v>0</v>
      </c>
    </row>
    <row r="49" spans="1:39">
      <c r="A49" s="1089" t="s">
        <v>1001</v>
      </c>
      <c r="B49" s="1038" t="s">
        <v>621</v>
      </c>
      <c r="C49" s="1088">
        <f>SUM(C50:C52)</f>
        <v>29</v>
      </c>
      <c r="D49" s="1082">
        <f t="shared" ref="D49:AD49" si="15">SUM(D50:D52)</f>
        <v>35</v>
      </c>
      <c r="E49" s="1083">
        <f t="shared" si="15"/>
        <v>29</v>
      </c>
      <c r="F49" s="1084">
        <f t="shared" si="15"/>
        <v>29</v>
      </c>
      <c r="G49" s="1084">
        <f t="shared" si="15"/>
        <v>29</v>
      </c>
      <c r="H49" s="1084">
        <f t="shared" si="15"/>
        <v>29</v>
      </c>
      <c r="I49" s="1085">
        <f t="shared" si="15"/>
        <v>29</v>
      </c>
      <c r="J49" s="1088">
        <f t="shared" si="15"/>
        <v>1</v>
      </c>
      <c r="K49" s="1082">
        <f t="shared" si="15"/>
        <v>1</v>
      </c>
      <c r="L49" s="1083">
        <f t="shared" si="15"/>
        <v>1</v>
      </c>
      <c r="M49" s="1084">
        <f t="shared" si="15"/>
        <v>1</v>
      </c>
      <c r="N49" s="1084">
        <f t="shared" si="15"/>
        <v>1</v>
      </c>
      <c r="O49" s="1084">
        <f t="shared" si="15"/>
        <v>1</v>
      </c>
      <c r="P49" s="1085">
        <f t="shared" si="15"/>
        <v>1</v>
      </c>
      <c r="Q49" s="1088">
        <f t="shared" si="15"/>
        <v>1</v>
      </c>
      <c r="R49" s="1082">
        <f t="shared" si="15"/>
        <v>252</v>
      </c>
      <c r="S49" s="1083">
        <f t="shared" si="15"/>
        <v>1</v>
      </c>
      <c r="T49" s="1084">
        <f t="shared" si="15"/>
        <v>1</v>
      </c>
      <c r="U49" s="1084">
        <f t="shared" si="15"/>
        <v>1</v>
      </c>
      <c r="V49" s="1084">
        <f t="shared" si="15"/>
        <v>1</v>
      </c>
      <c r="W49" s="1085">
        <f t="shared" si="15"/>
        <v>1</v>
      </c>
      <c r="X49" s="1082">
        <f t="shared" si="15"/>
        <v>452</v>
      </c>
      <c r="Y49" s="1082">
        <f t="shared" si="15"/>
        <v>518</v>
      </c>
      <c r="Z49" s="1083">
        <f t="shared" si="15"/>
        <v>509</v>
      </c>
      <c r="AA49" s="1084">
        <f t="shared" si="15"/>
        <v>518</v>
      </c>
      <c r="AB49" s="1084">
        <f t="shared" si="15"/>
        <v>529</v>
      </c>
      <c r="AC49" s="1084">
        <f t="shared" si="15"/>
        <v>530</v>
      </c>
      <c r="AD49" s="1085">
        <f t="shared" si="15"/>
        <v>534</v>
      </c>
    </row>
    <row r="50" spans="1:39" s="360" customFormat="1">
      <c r="A50" s="488" t="s">
        <v>1002</v>
      </c>
      <c r="B50" s="782" t="s">
        <v>1562</v>
      </c>
      <c r="C50" s="2801">
        <f>'12.1.Разходи-увелич.и нам.'!C50</f>
        <v>29</v>
      </c>
      <c r="D50" s="2422">
        <f>'12.1.Разходи-увелич.и нам.'!D50</f>
        <v>35</v>
      </c>
      <c r="E50" s="2423">
        <f>$C50+('12.1.Разходи-увелич.и нам.'!E50+'12.1.Разходи-увелич.и нам.'!F50)</f>
        <v>29</v>
      </c>
      <c r="F50" s="2423">
        <f>$C50+('12.1.Разходи-увелич.и нам.'!G50+'12.1.Разходи-увелич.и нам.'!H50)</f>
        <v>29</v>
      </c>
      <c r="G50" s="2423">
        <f>$C50+('12.1.Разходи-увелич.и нам.'!I50+'12.1.Разходи-увелич.и нам.'!J50)</f>
        <v>29</v>
      </c>
      <c r="H50" s="2423">
        <f>$C50+('12.1.Разходи-увелич.и нам.'!K50+'12.1.Разходи-увелич.и нам.'!L50)</f>
        <v>29</v>
      </c>
      <c r="I50" s="2424">
        <f>$C50+('12.1.Разходи-увелич.и нам.'!M50+'12.1.Разходи-увелич.и нам.'!N50)</f>
        <v>29</v>
      </c>
      <c r="J50" s="2425">
        <f>'12.1.Разходи-увелич.и нам.'!O50</f>
        <v>1</v>
      </c>
      <c r="K50" s="2422">
        <f>'12.1.Разходи-увелич.и нам.'!P50</f>
        <v>1</v>
      </c>
      <c r="L50" s="2423">
        <f>$J50+('12.1.Разходи-увелич.и нам.'!Q50+'12.1.Разходи-увелич.и нам.'!R50)</f>
        <v>1</v>
      </c>
      <c r="M50" s="2423">
        <f>$J50+('12.1.Разходи-увелич.и нам.'!S50+'12.1.Разходи-увелич.и нам.'!T50)</f>
        <v>1</v>
      </c>
      <c r="N50" s="2423">
        <f>$J50+('12.1.Разходи-увелич.и нам.'!U50+'12.1.Разходи-увелич.и нам.'!V50)</f>
        <v>1</v>
      </c>
      <c r="O50" s="2423">
        <f>$J50+('12.1.Разходи-увелич.и нам.'!W50+'12.1.Разходи-увелич.и нам.'!X50)</f>
        <v>1</v>
      </c>
      <c r="P50" s="2424">
        <f>$J50+('12.1.Разходи-увелич.и нам.'!Y50+'12.1.Разходи-увелич.и нам.'!Z50)</f>
        <v>1</v>
      </c>
      <c r="Q50" s="2425">
        <f>'12.1.Разходи-увелич.и нам.'!AA50</f>
        <v>1</v>
      </c>
      <c r="R50" s="2426">
        <f>'12.1.Разходи-увелич.и нам.'!AB50</f>
        <v>2</v>
      </c>
      <c r="S50" s="2423">
        <f>$Q50+('12.1.Разходи-увелич.и нам.'!AC50+'12.1.Разходи-увелич.и нам.'!AD50)</f>
        <v>1</v>
      </c>
      <c r="T50" s="2423">
        <f>$Q50+('12.1.Разходи-увелич.и нам.'!AE50+'12.1.Разходи-увелич.и нам.'!AF50)</f>
        <v>1</v>
      </c>
      <c r="U50" s="2423">
        <f>$Q50+('12.1.Разходи-увелич.и нам.'!AG50+'12.1.Разходи-увелич.и нам.'!AH50)</f>
        <v>1</v>
      </c>
      <c r="V50" s="2423">
        <f>$Q50+('12.1.Разходи-увелич.и нам.'!AI50+'12.1.Разходи-увелич.и нам.'!AJ50)</f>
        <v>1</v>
      </c>
      <c r="W50" s="2424">
        <f>$Q50+('12.1.Разходи-увелич.и нам.'!AK50+'12.1.Разходи-увелич.и нам.'!AL50)</f>
        <v>1</v>
      </c>
      <c r="X50" s="2246"/>
      <c r="Y50" s="2246">
        <v>4</v>
      </c>
      <c r="Z50" s="795">
        <v>4</v>
      </c>
      <c r="AA50" s="782">
        <v>4</v>
      </c>
      <c r="AB50" s="782">
        <v>4</v>
      </c>
      <c r="AC50" s="782">
        <v>4</v>
      </c>
      <c r="AD50" s="791">
        <v>4</v>
      </c>
      <c r="AE50" s="358"/>
      <c r="AF50" s="358"/>
      <c r="AG50" s="358"/>
      <c r="AH50" s="358"/>
      <c r="AI50" s="358"/>
      <c r="AJ50" s="358"/>
      <c r="AK50" s="358"/>
      <c r="AL50" s="358"/>
      <c r="AM50" s="358"/>
    </row>
    <row r="51" spans="1:39" s="360" customFormat="1">
      <c r="A51" s="489" t="s">
        <v>1003</v>
      </c>
      <c r="B51" s="782" t="s">
        <v>1572</v>
      </c>
      <c r="C51" s="2801">
        <f>'12.1.Разходи-увелич.и нам.'!C51</f>
        <v>0</v>
      </c>
      <c r="D51" s="2422">
        <f>'12.1.Разходи-увелич.и нам.'!D51</f>
        <v>0</v>
      </c>
      <c r="E51" s="2423">
        <f>$C51+('12.1.Разходи-увелич.и нам.'!E51+'12.1.Разходи-увелич.и нам.'!F51)</f>
        <v>0</v>
      </c>
      <c r="F51" s="2423">
        <f>$C51+('12.1.Разходи-увелич.и нам.'!G51+'12.1.Разходи-увелич.и нам.'!H51)</f>
        <v>0</v>
      </c>
      <c r="G51" s="2423">
        <f>$C51+('12.1.Разходи-увелич.и нам.'!I51+'12.1.Разходи-увелич.и нам.'!J51)</f>
        <v>0</v>
      </c>
      <c r="H51" s="2423">
        <f>$C51+('12.1.Разходи-увелич.и нам.'!K51+'12.1.Разходи-увелич.и нам.'!L51)</f>
        <v>0</v>
      </c>
      <c r="I51" s="2424">
        <f>$C51+('12.1.Разходи-увелич.и нам.'!M51+'12.1.Разходи-увелич.и нам.'!N51)</f>
        <v>0</v>
      </c>
      <c r="J51" s="2425">
        <f>'12.1.Разходи-увелич.и нам.'!O51</f>
        <v>0</v>
      </c>
      <c r="K51" s="2422">
        <f>'12.1.Разходи-увелич.и нам.'!P51</f>
        <v>0</v>
      </c>
      <c r="L51" s="2423">
        <f>$J51+('12.1.Разходи-увелич.и нам.'!Q51+'12.1.Разходи-увелич.и нам.'!R51)</f>
        <v>0</v>
      </c>
      <c r="M51" s="2423">
        <f>$J51+('12.1.Разходи-увелич.и нам.'!S51+'12.1.Разходи-увелич.и нам.'!T51)</f>
        <v>0</v>
      </c>
      <c r="N51" s="2423">
        <f>$J51+('12.1.Разходи-увелич.и нам.'!U51+'12.1.Разходи-увелич.и нам.'!V51)</f>
        <v>0</v>
      </c>
      <c r="O51" s="2423">
        <f>$J51+('12.1.Разходи-увелич.и нам.'!W51+'12.1.Разходи-увелич.и нам.'!X51)</f>
        <v>0</v>
      </c>
      <c r="P51" s="2424">
        <f>$J51+('12.1.Разходи-увелич.и нам.'!Y51+'12.1.Разходи-увелич.и нам.'!Z51)</f>
        <v>0</v>
      </c>
      <c r="Q51" s="2425">
        <f>'12.1.Разходи-увелич.и нам.'!AA51</f>
        <v>0</v>
      </c>
      <c r="R51" s="2426">
        <f>'12.1.Разходи-увелич.и нам.'!AB51</f>
        <v>250</v>
      </c>
      <c r="S51" s="2423">
        <f>$Q51+('12.1.Разходи-увелич.и нам.'!AC51+'12.1.Разходи-увелич.и нам.'!AD51)</f>
        <v>0</v>
      </c>
      <c r="T51" s="2423">
        <f>$Q51+('12.1.Разходи-увелич.и нам.'!AE51+'12.1.Разходи-увелич.и нам.'!AF51)</f>
        <v>0</v>
      </c>
      <c r="U51" s="2423">
        <f>$Q51+('12.1.Разходи-увелич.и нам.'!AG51+'12.1.Разходи-увелич.и нам.'!AH51)</f>
        <v>0</v>
      </c>
      <c r="V51" s="2423">
        <f>$Q51+('12.1.Разходи-увелич.и нам.'!AI51+'12.1.Разходи-увелич.и нам.'!AJ51)</f>
        <v>0</v>
      </c>
      <c r="W51" s="2424">
        <f>$Q51+('12.1.Разходи-увелич.и нам.'!AK51+'12.1.Разходи-увелич.и нам.'!AL51)</f>
        <v>0</v>
      </c>
      <c r="X51" s="2246">
        <v>452</v>
      </c>
      <c r="Y51" s="2246">
        <v>514</v>
      </c>
      <c r="Z51" s="795">
        <v>505</v>
      </c>
      <c r="AA51" s="782">
        <v>514</v>
      </c>
      <c r="AB51" s="782">
        <v>525</v>
      </c>
      <c r="AC51" s="782">
        <v>526</v>
      </c>
      <c r="AD51" s="791">
        <v>530</v>
      </c>
      <c r="AE51" s="358"/>
      <c r="AF51" s="358"/>
      <c r="AG51" s="358"/>
      <c r="AH51" s="358"/>
      <c r="AI51" s="358"/>
      <c r="AJ51" s="358"/>
      <c r="AK51" s="358"/>
      <c r="AL51" s="358"/>
      <c r="AM51" s="358"/>
    </row>
    <row r="52" spans="1:39" s="360" customFormat="1" ht="15.75" thickBot="1">
      <c r="A52" s="1053" t="s">
        <v>1004</v>
      </c>
      <c r="B52" s="782"/>
      <c r="C52" s="2801">
        <f>'12.1.Разходи-увелич.и нам.'!C52</f>
        <v>0</v>
      </c>
      <c r="D52" s="2422">
        <f>'12.1.Разходи-увелич.и нам.'!D52</f>
        <v>0</v>
      </c>
      <c r="E52" s="2423">
        <f>$C52+('12.1.Разходи-увелич.и нам.'!E52+'12.1.Разходи-увелич.и нам.'!F52)</f>
        <v>0</v>
      </c>
      <c r="F52" s="2423">
        <f>$C52+('12.1.Разходи-увелич.и нам.'!G52+'12.1.Разходи-увелич.и нам.'!H52)</f>
        <v>0</v>
      </c>
      <c r="G52" s="2423">
        <f>$C52+('12.1.Разходи-увелич.и нам.'!I52+'12.1.Разходи-увелич.и нам.'!J52)</f>
        <v>0</v>
      </c>
      <c r="H52" s="2423">
        <f>$C52+('12.1.Разходи-увелич.и нам.'!K52+'12.1.Разходи-увелич.и нам.'!L52)</f>
        <v>0</v>
      </c>
      <c r="I52" s="2424">
        <f>$C52+('12.1.Разходи-увелич.и нам.'!M52+'12.1.Разходи-увелич.и нам.'!N52)</f>
        <v>0</v>
      </c>
      <c r="J52" s="2425">
        <f>'12.1.Разходи-увелич.и нам.'!O52</f>
        <v>0</v>
      </c>
      <c r="K52" s="2422">
        <f>'12.1.Разходи-увелич.и нам.'!P52</f>
        <v>0</v>
      </c>
      <c r="L52" s="2423">
        <f>$J52+('12.1.Разходи-увелич.и нам.'!Q52+'12.1.Разходи-увелич.и нам.'!R52)</f>
        <v>0</v>
      </c>
      <c r="M52" s="2423">
        <f>$J52+('12.1.Разходи-увелич.и нам.'!S52+'12.1.Разходи-увелич.и нам.'!T52)</f>
        <v>0</v>
      </c>
      <c r="N52" s="2423">
        <f>$J52+('12.1.Разходи-увелич.и нам.'!U52+'12.1.Разходи-увелич.и нам.'!V52)</f>
        <v>0</v>
      </c>
      <c r="O52" s="2423">
        <f>$J52+('12.1.Разходи-увелич.и нам.'!W52+'12.1.Разходи-увелич.и нам.'!X52)</f>
        <v>0</v>
      </c>
      <c r="P52" s="2424">
        <f>$J52+('12.1.Разходи-увелич.и нам.'!Y52+'12.1.Разходи-увелич.и нам.'!Z52)</f>
        <v>0</v>
      </c>
      <c r="Q52" s="2425">
        <f>'12.1.Разходи-увелич.и нам.'!AA52</f>
        <v>0</v>
      </c>
      <c r="R52" s="2426">
        <f>'12.1.Разходи-увелич.и нам.'!AB52</f>
        <v>0</v>
      </c>
      <c r="S52" s="2423">
        <f>$Q52+('12.1.Разходи-увелич.и нам.'!AC52+'12.1.Разходи-увелич.и нам.'!AD52)</f>
        <v>0</v>
      </c>
      <c r="T52" s="2423">
        <f>$Q52+('12.1.Разходи-увелич.и нам.'!AE52+'12.1.Разходи-увелич.и нам.'!AF52)</f>
        <v>0</v>
      </c>
      <c r="U52" s="2423">
        <f>$Q52+('12.1.Разходи-увелич.и нам.'!AG52+'12.1.Разходи-увелич.и нам.'!AH52)</f>
        <v>0</v>
      </c>
      <c r="V52" s="2423">
        <f>$Q52+('12.1.Разходи-увелич.и нам.'!AI52+'12.1.Разходи-увелич.и нам.'!AJ52)</f>
        <v>0</v>
      </c>
      <c r="W52" s="2424">
        <f>$Q52+('12.1.Разходи-увелич.и нам.'!AK52+'12.1.Разходи-увелич.и нам.'!AL52)</f>
        <v>0</v>
      </c>
      <c r="X52" s="2246"/>
      <c r="Y52" s="2246"/>
      <c r="Z52" s="795"/>
      <c r="AA52" s="782"/>
      <c r="AB52" s="782"/>
      <c r="AC52" s="782"/>
      <c r="AD52" s="791"/>
      <c r="AE52" s="358"/>
      <c r="AF52" s="358"/>
      <c r="AG52" s="358"/>
      <c r="AH52" s="358"/>
      <c r="AI52" s="358"/>
      <c r="AJ52" s="358"/>
      <c r="AK52" s="358"/>
      <c r="AL52" s="358"/>
      <c r="AM52" s="358"/>
    </row>
    <row r="53" spans="1:39" ht="15.75" thickBot="1">
      <c r="A53" s="1054">
        <v>3</v>
      </c>
      <c r="B53" s="1055" t="s">
        <v>622</v>
      </c>
      <c r="C53" s="2066">
        <f>SUM(C54:C56)</f>
        <v>1481</v>
      </c>
      <c r="D53" s="1047">
        <f>SUM(D54:D56)</f>
        <v>1646.5325186353211</v>
      </c>
      <c r="E53" s="1071">
        <f t="shared" ref="E53:AD53" si="16">SUM(E54:E56)</f>
        <v>1809.0991211506782</v>
      </c>
      <c r="F53" s="1072">
        <f t="shared" si="16"/>
        <v>1803.0255828088632</v>
      </c>
      <c r="G53" s="1072">
        <f t="shared" si="16"/>
        <v>1737.3153121110399</v>
      </c>
      <c r="H53" s="1072">
        <f t="shared" si="16"/>
        <v>1765.4593764908677</v>
      </c>
      <c r="I53" s="1244">
        <f t="shared" si="16"/>
        <v>1741.1277784295512</v>
      </c>
      <c r="J53" s="2066">
        <f t="shared" si="16"/>
        <v>71</v>
      </c>
      <c r="K53" s="1047">
        <f t="shared" si="16"/>
        <v>121.05164134174312</v>
      </c>
      <c r="L53" s="1091">
        <f t="shared" si="16"/>
        <v>196.01350969458878</v>
      </c>
      <c r="M53" s="1072">
        <f t="shared" si="16"/>
        <v>280.36580610397448</v>
      </c>
      <c r="N53" s="1072">
        <f t="shared" si="16"/>
        <v>314.01868404179083</v>
      </c>
      <c r="O53" s="1091">
        <f t="shared" si="16"/>
        <v>303.22670868664352</v>
      </c>
      <c r="P53" s="1073">
        <f t="shared" si="16"/>
        <v>288.20122468266766</v>
      </c>
      <c r="Q53" s="2066">
        <f t="shared" si="16"/>
        <v>25</v>
      </c>
      <c r="R53" s="1047">
        <f t="shared" si="16"/>
        <v>33.960840022935784</v>
      </c>
      <c r="S53" s="1091">
        <f t="shared" si="16"/>
        <v>72.50736915473324</v>
      </c>
      <c r="T53" s="1072">
        <f t="shared" si="16"/>
        <v>86.798611087162698</v>
      </c>
      <c r="U53" s="1072">
        <f t="shared" si="16"/>
        <v>117.90600384716934</v>
      </c>
      <c r="V53" s="1074">
        <f t="shared" si="16"/>
        <v>99.623914822488828</v>
      </c>
      <c r="W53" s="1073">
        <f t="shared" si="16"/>
        <v>107.36099688778089</v>
      </c>
      <c r="X53" s="1047">
        <f t="shared" si="16"/>
        <v>40</v>
      </c>
      <c r="Y53" s="1047">
        <f t="shared" si="16"/>
        <v>45</v>
      </c>
      <c r="Z53" s="1071">
        <f t="shared" si="16"/>
        <v>46</v>
      </c>
      <c r="AA53" s="1072">
        <f t="shared" si="16"/>
        <v>49</v>
      </c>
      <c r="AB53" s="1072">
        <f t="shared" si="16"/>
        <v>50</v>
      </c>
      <c r="AC53" s="1072">
        <f t="shared" si="16"/>
        <v>51</v>
      </c>
      <c r="AD53" s="1073">
        <f t="shared" si="16"/>
        <v>52</v>
      </c>
      <c r="AE53" s="358"/>
      <c r="AF53" s="358"/>
      <c r="AG53" s="358"/>
      <c r="AH53" s="358"/>
      <c r="AI53" s="358"/>
      <c r="AJ53" s="358"/>
      <c r="AK53" s="358"/>
      <c r="AL53" s="358"/>
      <c r="AM53" s="358"/>
    </row>
    <row r="54" spans="1:39">
      <c r="A54" s="1058" t="s">
        <v>327</v>
      </c>
      <c r="B54" s="1057" t="s">
        <v>623</v>
      </c>
      <c r="C54" s="2429">
        <f>'11. Амортиз. план'!E34</f>
        <v>706</v>
      </c>
      <c r="D54" s="2430">
        <f>'11. Амортиз. план'!F34</f>
        <v>785.64251863532127</v>
      </c>
      <c r="E54" s="2431">
        <f>'11. Амортиз. план'!G34</f>
        <v>851.10912115067822</v>
      </c>
      <c r="F54" s="2432">
        <f>'11. Амортиз. план'!H34</f>
        <v>854.08558280886314</v>
      </c>
      <c r="G54" s="2432">
        <f>'11. Амортиз. план'!I34</f>
        <v>848.47531211104001</v>
      </c>
      <c r="H54" s="2432">
        <f>'11. Амортиз. план'!J34</f>
        <v>847.91937649086765</v>
      </c>
      <c r="I54" s="2433">
        <f>'11. Амортиз. план'!K34</f>
        <v>843.08777842955135</v>
      </c>
      <c r="J54" s="2429">
        <f>'11. Амортиз. план'!L34</f>
        <v>67</v>
      </c>
      <c r="K54" s="2430">
        <f>'11. Амортиз. план'!M34</f>
        <v>66.421641341743126</v>
      </c>
      <c r="L54" s="2431">
        <f>'11. Амортиз. план'!N34</f>
        <v>153.40350969458876</v>
      </c>
      <c r="M54" s="2432">
        <f>'11. Амортиз. план'!O34</f>
        <v>241.94580610397446</v>
      </c>
      <c r="N54" s="2432">
        <f>'11. Амортиз. план'!P34</f>
        <v>242.49868404179085</v>
      </c>
      <c r="O54" s="2432">
        <f>'11. Амортиз. план'!Q34</f>
        <v>242.37670868664355</v>
      </c>
      <c r="P54" s="2433">
        <f>'11. Амортиз. план'!R34</f>
        <v>245.31122468266767</v>
      </c>
      <c r="Q54" s="2429">
        <f>'11. Амортиз. план'!S34</f>
        <v>25</v>
      </c>
      <c r="R54" s="2430">
        <f>'11. Амортиз. план'!T34</f>
        <v>33.960840022935784</v>
      </c>
      <c r="S54" s="2431">
        <f>'11. Амортиз. план'!U34</f>
        <v>33.727369154733239</v>
      </c>
      <c r="T54" s="2432">
        <f>'11. Амортиз. план'!V34</f>
        <v>52.558611087162689</v>
      </c>
      <c r="U54" s="2432">
        <f>'11. Амортиз. план'!W34</f>
        <v>72.066003847169341</v>
      </c>
      <c r="V54" s="2432">
        <f>'11. Амортиз. план'!X34</f>
        <v>68.243914822488833</v>
      </c>
      <c r="W54" s="2433">
        <f>'11. Амортиз. план'!Y34</f>
        <v>66.540996887780878</v>
      </c>
      <c r="X54" s="2246">
        <v>40</v>
      </c>
      <c r="Y54" s="2246">
        <v>45</v>
      </c>
      <c r="Z54" s="795">
        <v>46</v>
      </c>
      <c r="AA54" s="782">
        <v>49</v>
      </c>
      <c r="AB54" s="782">
        <v>50</v>
      </c>
      <c r="AC54" s="782">
        <v>51</v>
      </c>
      <c r="AD54" s="791">
        <v>52</v>
      </c>
      <c r="AE54" s="351"/>
      <c r="AF54" s="351"/>
      <c r="AG54" s="351"/>
      <c r="AH54" s="351"/>
      <c r="AI54" s="351"/>
      <c r="AJ54" s="351"/>
      <c r="AK54" s="351"/>
      <c r="AL54" s="351"/>
      <c r="AM54" s="351"/>
    </row>
    <row r="55" spans="1:39" ht="24">
      <c r="A55" s="1090" t="s">
        <v>328</v>
      </c>
      <c r="B55" s="1057" t="s">
        <v>1005</v>
      </c>
      <c r="C55" s="2434">
        <f>'11. Амортиз. план'!E130</f>
        <v>0</v>
      </c>
      <c r="D55" s="2435">
        <f>'11. Амортиз. план'!F130</f>
        <v>85.890000000000015</v>
      </c>
      <c r="E55" s="2436">
        <f>'11. Амортиз. план'!G130</f>
        <v>151.99</v>
      </c>
      <c r="F55" s="2437">
        <f>'11. Амортиз. план'!H130</f>
        <v>180.93999999999997</v>
      </c>
      <c r="G55" s="2437">
        <f>'11. Амортиз. план'!I130</f>
        <v>208.83999999999997</v>
      </c>
      <c r="H55" s="2437">
        <f>'11. Амортиз. план'!J130</f>
        <v>234.53999999999996</v>
      </c>
      <c r="I55" s="2438">
        <f>'11. Амортиз. план'!K130</f>
        <v>258.03999999999996</v>
      </c>
      <c r="J55" s="2434">
        <f>'11. Амортиз. план'!L130</f>
        <v>0</v>
      </c>
      <c r="K55" s="2435">
        <f>'11. Амортиз. план'!M130</f>
        <v>0.63</v>
      </c>
      <c r="L55" s="2436">
        <f>'11. Амортиз. план'!N130</f>
        <v>1.61</v>
      </c>
      <c r="M55" s="2437">
        <f>'11. Амортиз. план'!O130</f>
        <v>2.42</v>
      </c>
      <c r="N55" s="2437">
        <f>'11. Амортиз. план'!P130</f>
        <v>3.5199999999999996</v>
      </c>
      <c r="O55" s="2437">
        <f>'11. Амортиз. план'!Q130</f>
        <v>4.8500000000000005</v>
      </c>
      <c r="P55" s="2438">
        <f>'11. Амортиз. план'!R130</f>
        <v>5.89</v>
      </c>
      <c r="Q55" s="2434">
        <f>'11. Амортиз. план'!S130</f>
        <v>0</v>
      </c>
      <c r="R55" s="2435">
        <f>'11. Амортиз. план'!T130</f>
        <v>0</v>
      </c>
      <c r="S55" s="2436">
        <f>'11. Амортиз. план'!U130</f>
        <v>0.78</v>
      </c>
      <c r="T55" s="2437">
        <f>'11. Амортиз. план'!V130</f>
        <v>2.2400000000000002</v>
      </c>
      <c r="U55" s="2437">
        <f>'11. Амортиз. план'!W130</f>
        <v>3.84</v>
      </c>
      <c r="V55" s="2437">
        <f>'11. Амортиз. план'!X130</f>
        <v>5.38</v>
      </c>
      <c r="W55" s="2438">
        <f>'11. Амортиз. план'!Y130</f>
        <v>6.82</v>
      </c>
      <c r="X55" s="2246"/>
      <c r="Y55" s="2246"/>
      <c r="Z55" s="795"/>
      <c r="AA55" s="782"/>
      <c r="AB55" s="782"/>
      <c r="AC55" s="782"/>
      <c r="AD55" s="791"/>
      <c r="AE55" s="351"/>
      <c r="AF55" s="351"/>
      <c r="AG55" s="351"/>
      <c r="AH55" s="351"/>
      <c r="AI55" s="351"/>
      <c r="AJ55" s="351"/>
      <c r="AK55" s="351"/>
      <c r="AL55" s="351"/>
      <c r="AM55" s="351"/>
    </row>
    <row r="56" spans="1:39" ht="26.25" customHeight="1" thickBot="1">
      <c r="A56" s="1059" t="s">
        <v>675</v>
      </c>
      <c r="B56" s="1060" t="s">
        <v>1006</v>
      </c>
      <c r="C56" s="2439">
        <f>'10. Финансиране на ИП'!C30</f>
        <v>775</v>
      </c>
      <c r="D56" s="2440">
        <f>'10. Финансиране на ИП'!D30</f>
        <v>775</v>
      </c>
      <c r="E56" s="2441">
        <f>'10. Финансиране на ИП'!E30</f>
        <v>806</v>
      </c>
      <c r="F56" s="2442">
        <f>'10. Финансиране на ИП'!F30</f>
        <v>768</v>
      </c>
      <c r="G56" s="2442">
        <f>'10. Финансиране на ИП'!G30</f>
        <v>680</v>
      </c>
      <c r="H56" s="2442">
        <f>'10. Финансиране на ИП'!H30</f>
        <v>683</v>
      </c>
      <c r="I56" s="2443">
        <f>'10. Финансиране на ИП'!I30</f>
        <v>640</v>
      </c>
      <c r="J56" s="2439">
        <f>'10. Финансиране на ИП'!J30</f>
        <v>4</v>
      </c>
      <c r="K56" s="2440">
        <f>'10. Финансиране на ИП'!K30</f>
        <v>54</v>
      </c>
      <c r="L56" s="2441">
        <f>'10. Финансиране на ИП'!L30</f>
        <v>41</v>
      </c>
      <c r="M56" s="2442">
        <f>'10. Финансиране на ИП'!M30</f>
        <v>36</v>
      </c>
      <c r="N56" s="2442">
        <f>'10. Финансиране на ИП'!N30</f>
        <v>68</v>
      </c>
      <c r="O56" s="2442">
        <f>'10. Финансиране на ИП'!O30</f>
        <v>56</v>
      </c>
      <c r="P56" s="2443">
        <f>'10. Финансиране на ИП'!P30</f>
        <v>37</v>
      </c>
      <c r="Q56" s="2439">
        <f>'10. Финансиране на ИП'!Q30</f>
        <v>0</v>
      </c>
      <c r="R56" s="2440">
        <f>'10. Финансиране на ИП'!R30</f>
        <v>0</v>
      </c>
      <c r="S56" s="2441">
        <f>'10. Финансиране на ИП'!S30</f>
        <v>38</v>
      </c>
      <c r="T56" s="2442">
        <f>'10. Финансиране на ИП'!T30</f>
        <v>32</v>
      </c>
      <c r="U56" s="2442">
        <f>'10. Финансиране на ИП'!U30</f>
        <v>42</v>
      </c>
      <c r="V56" s="2442">
        <f>'10. Финансиране на ИП'!V30</f>
        <v>26</v>
      </c>
      <c r="W56" s="2443">
        <f>'10. Финансиране на ИП'!W30</f>
        <v>34</v>
      </c>
      <c r="X56" s="2246"/>
      <c r="Y56" s="2246"/>
      <c r="Z56" s="795"/>
      <c r="AA56" s="782"/>
      <c r="AB56" s="782"/>
      <c r="AC56" s="782"/>
      <c r="AD56" s="791"/>
      <c r="AE56" s="358"/>
      <c r="AF56" s="358"/>
      <c r="AG56" s="358"/>
      <c r="AH56" s="358"/>
      <c r="AI56" s="358"/>
      <c r="AJ56" s="358"/>
      <c r="AK56" s="358"/>
      <c r="AL56" s="358"/>
      <c r="AM56" s="358"/>
    </row>
    <row r="57" spans="1:39" ht="15.75" thickBot="1">
      <c r="A57" s="1054">
        <v>4</v>
      </c>
      <c r="B57" s="1055" t="s">
        <v>624</v>
      </c>
      <c r="C57" s="2066">
        <f t="shared" ref="C57:AD57" si="17">SUM(C58:C60)</f>
        <v>3200</v>
      </c>
      <c r="D57" s="1047">
        <f t="shared" si="17"/>
        <v>3629</v>
      </c>
      <c r="E57" s="1071">
        <f t="shared" si="17"/>
        <v>4977</v>
      </c>
      <c r="F57" s="1072">
        <f t="shared" si="17"/>
        <v>5161</v>
      </c>
      <c r="G57" s="1072">
        <f t="shared" si="17"/>
        <v>5161</v>
      </c>
      <c r="H57" s="1074">
        <f t="shared" si="17"/>
        <v>5161</v>
      </c>
      <c r="I57" s="1073">
        <f t="shared" si="17"/>
        <v>5738</v>
      </c>
      <c r="J57" s="2066">
        <f t="shared" si="17"/>
        <v>351</v>
      </c>
      <c r="K57" s="1047">
        <f t="shared" si="17"/>
        <v>370</v>
      </c>
      <c r="L57" s="1071">
        <f t="shared" si="17"/>
        <v>377</v>
      </c>
      <c r="M57" s="1072">
        <f t="shared" si="17"/>
        <v>377</v>
      </c>
      <c r="N57" s="1072">
        <f t="shared" si="17"/>
        <v>409</v>
      </c>
      <c r="O57" s="1091">
        <f t="shared" si="17"/>
        <v>414</v>
      </c>
      <c r="P57" s="1073">
        <f t="shared" si="17"/>
        <v>441</v>
      </c>
      <c r="Q57" s="2066">
        <f t="shared" si="17"/>
        <v>231</v>
      </c>
      <c r="R57" s="1047">
        <f t="shared" si="17"/>
        <v>233</v>
      </c>
      <c r="S57" s="1071">
        <f t="shared" si="17"/>
        <v>514</v>
      </c>
      <c r="T57" s="1072">
        <f t="shared" si="17"/>
        <v>574</v>
      </c>
      <c r="U57" s="1072">
        <f t="shared" si="17"/>
        <v>649</v>
      </c>
      <c r="V57" s="1072">
        <f t="shared" si="17"/>
        <v>735</v>
      </c>
      <c r="W57" s="1244">
        <f t="shared" si="17"/>
        <v>735</v>
      </c>
      <c r="X57" s="1047">
        <f t="shared" si="17"/>
        <v>96</v>
      </c>
      <c r="Y57" s="1047">
        <f t="shared" si="17"/>
        <v>149</v>
      </c>
      <c r="Z57" s="1091">
        <f t="shared" si="17"/>
        <v>139</v>
      </c>
      <c r="AA57" s="1072">
        <f t="shared" si="17"/>
        <v>141</v>
      </c>
      <c r="AB57" s="1072">
        <f t="shared" si="17"/>
        <v>141</v>
      </c>
      <c r="AC57" s="1091">
        <f t="shared" si="17"/>
        <v>142</v>
      </c>
      <c r="AD57" s="1073">
        <f t="shared" si="17"/>
        <v>143</v>
      </c>
      <c r="AE57" s="358"/>
      <c r="AF57" s="358"/>
      <c r="AG57" s="358"/>
      <c r="AH57" s="358"/>
      <c r="AI57" s="358"/>
      <c r="AJ57" s="358"/>
      <c r="AK57" s="358"/>
      <c r="AL57" s="358"/>
      <c r="AM57" s="358"/>
    </row>
    <row r="58" spans="1:39">
      <c r="A58" s="1031" t="s">
        <v>113</v>
      </c>
      <c r="B58" s="1057" t="s">
        <v>329</v>
      </c>
      <c r="C58" s="2425">
        <f>'12.1.Разходи-увелич.и нам.'!C58</f>
        <v>3178</v>
      </c>
      <c r="D58" s="2427">
        <f>'12.1.Разходи-увелич.и нам.'!D58</f>
        <v>3598</v>
      </c>
      <c r="E58" s="2428">
        <f>$C58+('12.1.Разходи-увелич.и нам.'!E58+'12.1.Разходи-увелич.и нам.'!F58)</f>
        <v>4955</v>
      </c>
      <c r="F58" s="2428">
        <f>$C58+('12.1.Разходи-увелич.и нам.'!G58+'12.1.Разходи-увелич.и нам.'!H58)</f>
        <v>5139</v>
      </c>
      <c r="G58" s="2428">
        <f>$C58+('12.1.Разходи-увелич.и нам.'!I58+'12.1.Разходи-увелич.и нам.'!J58)</f>
        <v>5139</v>
      </c>
      <c r="H58" s="2428">
        <f>$C58+('12.1.Разходи-увелич.и нам.'!K58+'12.1.Разходи-увелич.и нам.'!L58)</f>
        <v>5139</v>
      </c>
      <c r="I58" s="1497">
        <f>$C58+('12.1.Разходи-увелич.и нам.'!M58+'12.1.Разходи-увелич.и нам.'!N58)</f>
        <v>5716</v>
      </c>
      <c r="J58" s="2425">
        <f>'12.1.Разходи-увелич.и нам.'!O58</f>
        <v>351</v>
      </c>
      <c r="K58" s="2422">
        <f>'12.1.Разходи-увелич.и нам.'!P58</f>
        <v>370</v>
      </c>
      <c r="L58" s="2423">
        <f>$J58+('12.1.Разходи-увелич.и нам.'!Q58+'12.1.Разходи-увелич.и нам.'!R58)</f>
        <v>377</v>
      </c>
      <c r="M58" s="2423">
        <f>$J58+('12.1.Разходи-увелич.и нам.'!S58+'12.1.Разходи-увелич.и нам.'!T58)</f>
        <v>377</v>
      </c>
      <c r="N58" s="2423">
        <f>$J58+('12.1.Разходи-увелич.и нам.'!U58+'12.1.Разходи-увелич.и нам.'!V58)</f>
        <v>409</v>
      </c>
      <c r="O58" s="2423">
        <f>$J58+('12.1.Разходи-увелич.и нам.'!W58+'12.1.Разходи-увелич.и нам.'!X58)</f>
        <v>414</v>
      </c>
      <c r="P58" s="2424">
        <f>$J58+('12.1.Разходи-увелич.и нам.'!Y58+'12.1.Разходи-увелич.и нам.'!Z58)</f>
        <v>441</v>
      </c>
      <c r="Q58" s="2425">
        <f>'12.1.Разходи-увелич.и нам.'!AA58</f>
        <v>227</v>
      </c>
      <c r="R58" s="2426">
        <f>'12.1.Разходи-увелич.и нам.'!AB58</f>
        <v>229</v>
      </c>
      <c r="S58" s="2423">
        <f>$Q58+('12.1.Разходи-увелич.и нам.'!AC58+'12.1.Разходи-увелич.и нам.'!AD58)</f>
        <v>510</v>
      </c>
      <c r="T58" s="2423">
        <f>$Q58+('12.1.Разходи-увелич.и нам.'!AE58+'12.1.Разходи-увелич.и нам.'!AF58)</f>
        <v>570</v>
      </c>
      <c r="U58" s="2423">
        <f>$Q58+('12.1.Разходи-увелич.и нам.'!AG58+'12.1.Разходи-увелич.и нам.'!AH58)</f>
        <v>645</v>
      </c>
      <c r="V58" s="2423">
        <f>$Q58+('12.1.Разходи-увелич.и нам.'!AI58+'12.1.Разходи-увелич.и нам.'!AJ58)</f>
        <v>731</v>
      </c>
      <c r="W58" s="2424">
        <f>$Q58+('12.1.Разходи-увелич.и нам.'!AK58+'12.1.Разходи-увелич.и нам.'!AL58)</f>
        <v>731</v>
      </c>
      <c r="X58" s="2246">
        <v>83</v>
      </c>
      <c r="Y58" s="2246">
        <v>138</v>
      </c>
      <c r="Z58" s="795">
        <v>128</v>
      </c>
      <c r="AA58" s="782">
        <v>130</v>
      </c>
      <c r="AB58" s="782">
        <v>130</v>
      </c>
      <c r="AC58" s="782">
        <v>131</v>
      </c>
      <c r="AD58" s="791">
        <v>132</v>
      </c>
    </row>
    <row r="59" spans="1:39" ht="28.5" customHeight="1">
      <c r="A59" s="1031" t="s">
        <v>115</v>
      </c>
      <c r="B59" s="1242" t="s">
        <v>858</v>
      </c>
      <c r="C59" s="2425">
        <f>'12.1.Разходи-увелич.и нам.'!C59</f>
        <v>0</v>
      </c>
      <c r="D59" s="2427">
        <f>'12.1.Разходи-увелич.и нам.'!D59</f>
        <v>0</v>
      </c>
      <c r="E59" s="2428">
        <f>$C59+('12.1.Разходи-увелич.и нам.'!E59+'12.1.Разходи-увелич.и нам.'!F59)</f>
        <v>0</v>
      </c>
      <c r="F59" s="2428">
        <f>$C59+('12.1.Разходи-увелич.и нам.'!G59+'12.1.Разходи-увелич.и нам.'!H59)</f>
        <v>0</v>
      </c>
      <c r="G59" s="2428">
        <f>$C59+('12.1.Разходи-увелич.и нам.'!I59+'12.1.Разходи-увелич.и нам.'!J59)</f>
        <v>0</v>
      </c>
      <c r="H59" s="2428">
        <f>$C59+('12.1.Разходи-увелич.и нам.'!K59+'12.1.Разходи-увелич.и нам.'!L59)</f>
        <v>0</v>
      </c>
      <c r="I59" s="1497">
        <f>$C59+('12.1.Разходи-увелич.и нам.'!M59+'12.1.Разходи-увелич.и нам.'!N59)</f>
        <v>0</v>
      </c>
      <c r="J59" s="2425">
        <f>'12.1.Разходи-увелич.и нам.'!O59</f>
        <v>0</v>
      </c>
      <c r="K59" s="2422">
        <f>'12.1.Разходи-увелич.и нам.'!P59</f>
        <v>0</v>
      </c>
      <c r="L59" s="2423">
        <f>$J59+('12.1.Разходи-увелич.и нам.'!Q59+'12.1.Разходи-увелич.и нам.'!R59)</f>
        <v>0</v>
      </c>
      <c r="M59" s="2423">
        <f>$J59+('12.1.Разходи-увелич.и нам.'!S59+'12.1.Разходи-увелич.и нам.'!T59)</f>
        <v>0</v>
      </c>
      <c r="N59" s="2423">
        <f>$J59+('12.1.Разходи-увелич.и нам.'!U59+'12.1.Разходи-увелич.и нам.'!V59)</f>
        <v>0</v>
      </c>
      <c r="O59" s="2423">
        <f>$J59+('12.1.Разходи-увелич.и нам.'!W59+'12.1.Разходи-увелич.и нам.'!X59)</f>
        <v>0</v>
      </c>
      <c r="P59" s="2424">
        <f>$J59+('12.1.Разходи-увелич.и нам.'!Y59+'12.1.Разходи-увелич.и нам.'!Z59)</f>
        <v>0</v>
      </c>
      <c r="Q59" s="2425">
        <f>'12.1.Разходи-увелич.и нам.'!AA59</f>
        <v>0</v>
      </c>
      <c r="R59" s="2426">
        <f>'12.1.Разходи-увелич.и нам.'!AB59</f>
        <v>0</v>
      </c>
      <c r="S59" s="2423">
        <f>$Q59+('12.1.Разходи-увелич.и нам.'!AC59+'12.1.Разходи-увелич.и нам.'!AD59)</f>
        <v>0</v>
      </c>
      <c r="T59" s="2423">
        <f>$Q59+('12.1.Разходи-увелич.и нам.'!AE59+'12.1.Разходи-увелич.и нам.'!AF59)</f>
        <v>0</v>
      </c>
      <c r="U59" s="2423">
        <f>$Q59+('12.1.Разходи-увелич.и нам.'!AG59+'12.1.Разходи-увелич.и нам.'!AH59)</f>
        <v>0</v>
      </c>
      <c r="V59" s="2423">
        <f>$Q59+('12.1.Разходи-увелич.и нам.'!AI59+'12.1.Разходи-увелич.и нам.'!AJ59)</f>
        <v>0</v>
      </c>
      <c r="W59" s="2424">
        <f>$Q59+('12.1.Разходи-увелич.и нам.'!AK59+'12.1.Разходи-увелич.и нам.'!AL59)</f>
        <v>0</v>
      </c>
      <c r="X59" s="2246"/>
      <c r="Y59" s="2246"/>
      <c r="Z59" s="795"/>
      <c r="AA59" s="782"/>
      <c r="AB59" s="782"/>
      <c r="AC59" s="782"/>
      <c r="AD59" s="791"/>
    </row>
    <row r="60" spans="1:39" ht="15.75" thickBot="1">
      <c r="A60" s="1031" t="s">
        <v>116</v>
      </c>
      <c r="B60" s="1062" t="s">
        <v>330</v>
      </c>
      <c r="C60" s="2425">
        <f>'12.1.Разходи-увелич.и нам.'!C60</f>
        <v>22</v>
      </c>
      <c r="D60" s="2427">
        <f>'12.1.Разходи-увелич.и нам.'!D60</f>
        <v>31</v>
      </c>
      <c r="E60" s="2428">
        <f>$C60+('12.1.Разходи-увелич.и нам.'!E60+'12.1.Разходи-увелич.и нам.'!F60)</f>
        <v>22</v>
      </c>
      <c r="F60" s="2428">
        <f>$C60+('12.1.Разходи-увелич.и нам.'!G60+'12.1.Разходи-увелич.и нам.'!H60)</f>
        <v>22</v>
      </c>
      <c r="G60" s="2428">
        <f>$C60+('12.1.Разходи-увелич.и нам.'!I60+'12.1.Разходи-увелич.и нам.'!J60)</f>
        <v>22</v>
      </c>
      <c r="H60" s="2428">
        <f>$C60+('12.1.Разходи-увелич.и нам.'!K60+'12.1.Разходи-увелич.и нам.'!L60)</f>
        <v>22</v>
      </c>
      <c r="I60" s="1497">
        <f>$C60+('12.1.Разходи-увелич.и нам.'!M60+'12.1.Разходи-увелич.и нам.'!N60)</f>
        <v>22</v>
      </c>
      <c r="J60" s="2425">
        <f>'12.1.Разходи-увелич.и нам.'!O60</f>
        <v>0</v>
      </c>
      <c r="K60" s="2422">
        <f>'12.1.Разходи-увелич.и нам.'!P60</f>
        <v>0</v>
      </c>
      <c r="L60" s="2423">
        <f>$J60+('12.1.Разходи-увелич.и нам.'!Q60+'12.1.Разходи-увелич.и нам.'!R60)</f>
        <v>0</v>
      </c>
      <c r="M60" s="2423">
        <f>$J60+('12.1.Разходи-увелич.и нам.'!S60+'12.1.Разходи-увелич.и нам.'!T60)</f>
        <v>0</v>
      </c>
      <c r="N60" s="2423">
        <f>$J60+('12.1.Разходи-увелич.и нам.'!U60+'12.1.Разходи-увелич.и нам.'!V60)</f>
        <v>0</v>
      </c>
      <c r="O60" s="2423">
        <f>$J60+('12.1.Разходи-увелич.и нам.'!W60+'12.1.Разходи-увелич.и нам.'!X60)</f>
        <v>0</v>
      </c>
      <c r="P60" s="2424">
        <f>$J60+('12.1.Разходи-увелич.и нам.'!Y60+'12.1.Разходи-увелич.и нам.'!Z60)</f>
        <v>0</v>
      </c>
      <c r="Q60" s="2425">
        <f>'12.1.Разходи-увелич.и нам.'!AA60</f>
        <v>4</v>
      </c>
      <c r="R60" s="2426">
        <f>'12.1.Разходи-увелич.и нам.'!AB60</f>
        <v>4</v>
      </c>
      <c r="S60" s="2423">
        <f>$Q60+('12.1.Разходи-увелич.и нам.'!AC60+'12.1.Разходи-увелич.и нам.'!AD60)</f>
        <v>4</v>
      </c>
      <c r="T60" s="2423">
        <f>$Q60+('12.1.Разходи-увелич.и нам.'!AE60+'12.1.Разходи-увелич.и нам.'!AF60)</f>
        <v>4</v>
      </c>
      <c r="U60" s="2423">
        <f>$Q60+('12.1.Разходи-увелич.и нам.'!AG60+'12.1.Разходи-увелич.и нам.'!AH60)</f>
        <v>4</v>
      </c>
      <c r="V60" s="2423">
        <f>$Q60+('12.1.Разходи-увелич.и нам.'!AI60+'12.1.Разходи-увелич.и нам.'!AJ60)</f>
        <v>4</v>
      </c>
      <c r="W60" s="2424">
        <f>$Q60+('12.1.Разходи-увелич.и нам.'!AK60+'12.1.Разходи-увелич.и нам.'!AL60)</f>
        <v>4</v>
      </c>
      <c r="X60" s="2246">
        <v>13</v>
      </c>
      <c r="Y60" s="2246">
        <v>11</v>
      </c>
      <c r="Z60" s="795">
        <v>11</v>
      </c>
      <c r="AA60" s="782">
        <v>11</v>
      </c>
      <c r="AB60" s="782">
        <v>11</v>
      </c>
      <c r="AC60" s="782">
        <v>11</v>
      </c>
      <c r="AD60" s="791">
        <v>11</v>
      </c>
    </row>
    <row r="61" spans="1:39" ht="15.75" thickBot="1">
      <c r="A61" s="1054">
        <v>5</v>
      </c>
      <c r="B61" s="1046" t="s">
        <v>625</v>
      </c>
      <c r="C61" s="2066">
        <f>SUM(C62:C65)</f>
        <v>783</v>
      </c>
      <c r="D61" s="1047">
        <f t="shared" ref="D61:AD61" si="18">SUM(D62:D65)</f>
        <v>1049</v>
      </c>
      <c r="E61" s="1071">
        <f t="shared" si="18"/>
        <v>1290</v>
      </c>
      <c r="F61" s="1072">
        <f t="shared" si="18"/>
        <v>1306</v>
      </c>
      <c r="G61" s="1072">
        <f t="shared" si="18"/>
        <v>1336</v>
      </c>
      <c r="H61" s="1074">
        <f t="shared" si="18"/>
        <v>1336</v>
      </c>
      <c r="I61" s="1073">
        <f t="shared" si="18"/>
        <v>1486</v>
      </c>
      <c r="J61" s="2066">
        <f t="shared" si="18"/>
        <v>114</v>
      </c>
      <c r="K61" s="1047">
        <f t="shared" si="18"/>
        <v>117</v>
      </c>
      <c r="L61" s="1071">
        <f t="shared" si="18"/>
        <v>98</v>
      </c>
      <c r="M61" s="1072">
        <f t="shared" si="18"/>
        <v>98</v>
      </c>
      <c r="N61" s="1072">
        <f t="shared" si="18"/>
        <v>107</v>
      </c>
      <c r="O61" s="1091">
        <f t="shared" si="18"/>
        <v>107</v>
      </c>
      <c r="P61" s="1073">
        <f t="shared" si="18"/>
        <v>114</v>
      </c>
      <c r="Q61" s="2066">
        <f t="shared" si="18"/>
        <v>60</v>
      </c>
      <c r="R61" s="1047">
        <f t="shared" si="18"/>
        <v>67</v>
      </c>
      <c r="S61" s="1071">
        <f t="shared" si="18"/>
        <v>133</v>
      </c>
      <c r="T61" s="1072">
        <f t="shared" si="18"/>
        <v>149</v>
      </c>
      <c r="U61" s="1072">
        <f t="shared" si="18"/>
        <v>168</v>
      </c>
      <c r="V61" s="1072">
        <f t="shared" si="18"/>
        <v>190</v>
      </c>
      <c r="W61" s="1244">
        <f t="shared" si="18"/>
        <v>190</v>
      </c>
      <c r="X61" s="1047">
        <f t="shared" si="18"/>
        <v>23</v>
      </c>
      <c r="Y61" s="1047">
        <f t="shared" si="18"/>
        <v>32</v>
      </c>
      <c r="Z61" s="1091">
        <f t="shared" si="18"/>
        <v>33</v>
      </c>
      <c r="AA61" s="1072">
        <f t="shared" si="18"/>
        <v>33</v>
      </c>
      <c r="AB61" s="1072">
        <f t="shared" si="18"/>
        <v>33</v>
      </c>
      <c r="AC61" s="1091">
        <f t="shared" si="18"/>
        <v>34</v>
      </c>
      <c r="AD61" s="1073">
        <f t="shared" si="18"/>
        <v>35</v>
      </c>
    </row>
    <row r="62" spans="1:39">
      <c r="A62" s="1031" t="s">
        <v>119</v>
      </c>
      <c r="B62" s="1057" t="s">
        <v>848</v>
      </c>
      <c r="C62" s="2425">
        <f>'12.1.Разходи-увелич.и нам.'!C62</f>
        <v>567</v>
      </c>
      <c r="D62" s="2427">
        <f>'12.1.Разходи-увелич.и нам.'!D62</f>
        <v>689</v>
      </c>
      <c r="E62" s="2428">
        <f>$C62+('12.1.Разходи-увелич.и нам.'!E62+'12.1.Разходи-увелич.и нам.'!F62)</f>
        <v>893</v>
      </c>
      <c r="F62" s="2428">
        <f>$C62+('12.1.Разходи-увелич.и нам.'!G62+'12.1.Разходи-увелич.и нам.'!H62)</f>
        <v>895</v>
      </c>
      <c r="G62" s="2428">
        <f>$C62+('12.1.Разходи-увелич.и нам.'!I62+'12.1.Разходи-увелич.и нам.'!J62)</f>
        <v>925</v>
      </c>
      <c r="H62" s="2428">
        <f>$C62+('12.1.Разходи-увелич.и нам.'!K62+'12.1.Разходи-увелич.и нам.'!L62)</f>
        <v>925</v>
      </c>
      <c r="I62" s="1497">
        <f>$C62+('12.1.Разходи-увелич.и нам.'!M62+'12.1.Разходи-увелич.и нам.'!N62)</f>
        <v>1029</v>
      </c>
      <c r="J62" s="2425">
        <f>'12.1.Разходи-увелич.и нам.'!O62</f>
        <v>99</v>
      </c>
      <c r="K62" s="2422">
        <f>'12.1.Разходи-увелич.и нам.'!P62</f>
        <v>80</v>
      </c>
      <c r="L62" s="2423">
        <f>$J62+('12.1.Разходи-увелич.и нам.'!Q62+'12.1.Разходи-увелич.и нам.'!R62)</f>
        <v>68</v>
      </c>
      <c r="M62" s="2423">
        <f>$J62+('12.1.Разходи-увелич.и нам.'!S62+'12.1.Разходи-увелич.и нам.'!T62)</f>
        <v>68</v>
      </c>
      <c r="N62" s="2423">
        <f>$J62+('12.1.Разходи-увелич.и нам.'!U62+'12.1.Разходи-увелич.и нам.'!V62)</f>
        <v>74</v>
      </c>
      <c r="O62" s="2423">
        <f>$J62+('12.1.Разходи-увелич.и нам.'!W62+'12.1.Разходи-увелич.и нам.'!X62)</f>
        <v>74</v>
      </c>
      <c r="P62" s="2424">
        <f>$J62+('12.1.Разходи-увелич.и нам.'!Y62+'12.1.Разходи-увелич.и нам.'!Z62)</f>
        <v>79</v>
      </c>
      <c r="Q62" s="2425">
        <f>'12.1.Разходи-увелич.и нам.'!AA62</f>
        <v>46</v>
      </c>
      <c r="R62" s="2426">
        <f>'12.1.Разходи-увелич.и нам.'!AB62</f>
        <v>44</v>
      </c>
      <c r="S62" s="2423">
        <f>$Q62+('12.1.Разходи-увелич.и нам.'!AC62+'12.1.Разходи-увелич.и нам.'!AD62)</f>
        <v>92</v>
      </c>
      <c r="T62" s="2423">
        <f>$Q62+('12.1.Разходи-увелич.и нам.'!AE62+'12.1.Разходи-увелич.и нам.'!AF62)</f>
        <v>103</v>
      </c>
      <c r="U62" s="2423">
        <f>$Q62+('12.1.Разходи-увелич.и нам.'!AG62+'12.1.Разходи-увелич.и нам.'!AH62)</f>
        <v>116</v>
      </c>
      <c r="V62" s="2423">
        <f>$Q62+('12.1.Разходи-увелич.и нам.'!AI62+'12.1.Разходи-увелич.и нам.'!AJ62)</f>
        <v>132</v>
      </c>
      <c r="W62" s="2424">
        <f>$Q62+('12.1.Разходи-увелич.и нам.'!AK62+'12.1.Разходи-увелич.и нам.'!AL62)</f>
        <v>132</v>
      </c>
      <c r="X62" s="2246">
        <v>17</v>
      </c>
      <c r="Y62" s="2246">
        <v>21</v>
      </c>
      <c r="Z62" s="795">
        <v>23</v>
      </c>
      <c r="AA62" s="782">
        <v>23</v>
      </c>
      <c r="AB62" s="782">
        <v>23</v>
      </c>
      <c r="AC62" s="782">
        <v>24</v>
      </c>
      <c r="AD62" s="791">
        <v>24</v>
      </c>
    </row>
    <row r="63" spans="1:39">
      <c r="A63" s="1031" t="s">
        <v>124</v>
      </c>
      <c r="B63" s="1243" t="s">
        <v>857</v>
      </c>
      <c r="C63" s="2425">
        <f>'12.1.Разходи-увелич.и нам.'!C63</f>
        <v>0</v>
      </c>
      <c r="D63" s="2427">
        <f>'12.1.Разходи-увелич.и нам.'!D63</f>
        <v>0</v>
      </c>
      <c r="E63" s="2428">
        <f>$C63+('12.1.Разходи-увелич.и нам.'!E63+'12.1.Разходи-увелич.и нам.'!F63)</f>
        <v>0</v>
      </c>
      <c r="F63" s="2428">
        <f>$C63+('12.1.Разходи-увелич.и нам.'!G63+'12.1.Разходи-увелич.и нам.'!H63)</f>
        <v>0</v>
      </c>
      <c r="G63" s="2428">
        <f>$C63+('12.1.Разходи-увелич.и нам.'!I63+'12.1.Разходи-увелич.и нам.'!J63)</f>
        <v>0</v>
      </c>
      <c r="H63" s="2428">
        <f>$C63+('12.1.Разходи-увелич.и нам.'!K63+'12.1.Разходи-увелич.и нам.'!L63)</f>
        <v>0</v>
      </c>
      <c r="I63" s="1497">
        <f>$C63+('12.1.Разходи-увелич.и нам.'!M63+'12.1.Разходи-увелич.и нам.'!N63)</f>
        <v>0</v>
      </c>
      <c r="J63" s="2425">
        <f>'12.1.Разходи-увелич.и нам.'!O63</f>
        <v>0</v>
      </c>
      <c r="K63" s="2422">
        <f>'12.1.Разходи-увелич.и нам.'!P63</f>
        <v>0</v>
      </c>
      <c r="L63" s="2423">
        <f>$J63+('12.1.Разходи-увелич.и нам.'!Q63+'12.1.Разходи-увелич.и нам.'!R63)</f>
        <v>0</v>
      </c>
      <c r="M63" s="2423">
        <f>$J63+('12.1.Разходи-увелич.и нам.'!S63+'12.1.Разходи-увелич.и нам.'!T63)</f>
        <v>0</v>
      </c>
      <c r="N63" s="2423">
        <f>$J63+('12.1.Разходи-увелич.и нам.'!U63+'12.1.Разходи-увелич.и нам.'!V63)</f>
        <v>0</v>
      </c>
      <c r="O63" s="2423">
        <f>$J63+('12.1.Разходи-увелич.и нам.'!W63+'12.1.Разходи-увелич.и нам.'!X63)</f>
        <v>0</v>
      </c>
      <c r="P63" s="2424">
        <f>$J63+('12.1.Разходи-увелич.и нам.'!Y63+'12.1.Разходи-увелич.и нам.'!Z63)</f>
        <v>0</v>
      </c>
      <c r="Q63" s="2425">
        <f>'12.1.Разходи-увелич.и нам.'!AA63</f>
        <v>0</v>
      </c>
      <c r="R63" s="2426">
        <f>'12.1.Разходи-увелич.и нам.'!AB63</f>
        <v>0</v>
      </c>
      <c r="S63" s="2423">
        <f>$Q63+('12.1.Разходи-увелич.и нам.'!AC63+'12.1.Разходи-увелич.и нам.'!AD63)</f>
        <v>0</v>
      </c>
      <c r="T63" s="2423">
        <f>$Q63+('12.1.Разходи-увелич.и нам.'!AE63+'12.1.Разходи-увелич.и нам.'!AF63)</f>
        <v>0</v>
      </c>
      <c r="U63" s="2423">
        <f>$Q63+('12.1.Разходи-увелич.и нам.'!AG63+'12.1.Разходи-увелич.и нам.'!AH63)</f>
        <v>0</v>
      </c>
      <c r="V63" s="2423">
        <f>$Q63+('12.1.Разходи-увелич.и нам.'!AI63+'12.1.Разходи-увелич.и нам.'!AJ63)</f>
        <v>0</v>
      </c>
      <c r="W63" s="2424">
        <f>$Q63+('12.1.Разходи-увелич.и нам.'!AK63+'12.1.Разходи-увелич.и нам.'!AL63)</f>
        <v>0</v>
      </c>
      <c r="X63" s="2246"/>
      <c r="Y63" s="2246"/>
      <c r="Z63" s="795"/>
      <c r="AA63" s="782"/>
      <c r="AB63" s="782"/>
      <c r="AC63" s="782"/>
      <c r="AD63" s="791"/>
    </row>
    <row r="64" spans="1:39" ht="23.25" customHeight="1">
      <c r="A64" s="1031" t="s">
        <v>91</v>
      </c>
      <c r="B64" s="1243" t="s">
        <v>849</v>
      </c>
      <c r="C64" s="2425">
        <f>'12.1.Разходи-увелич.и нам.'!C64</f>
        <v>216</v>
      </c>
      <c r="D64" s="2427">
        <f>'12.1.Разходи-увелич.и нам.'!D64</f>
        <v>360</v>
      </c>
      <c r="E64" s="2428">
        <f>$C64+('12.1.Разходи-увелич.и нам.'!E64+'12.1.Разходи-увелич.и нам.'!F64)</f>
        <v>397</v>
      </c>
      <c r="F64" s="2428">
        <f>$C64+('12.1.Разходи-увелич.и нам.'!G64+'12.1.Разходи-увелич.и нам.'!H64)</f>
        <v>411</v>
      </c>
      <c r="G64" s="2428">
        <f>$C64+('12.1.Разходи-увелич.и нам.'!I64+'12.1.Разходи-увелич.и нам.'!J64)</f>
        <v>411</v>
      </c>
      <c r="H64" s="2428">
        <f>$C64+('12.1.Разходи-увелич.и нам.'!K64+'12.1.Разходи-увелич.и нам.'!L64)</f>
        <v>411</v>
      </c>
      <c r="I64" s="1497">
        <f>$C64+('12.1.Разходи-увелич.и нам.'!M64+'12.1.Разходи-увелич.и нам.'!N64)</f>
        <v>457</v>
      </c>
      <c r="J64" s="2425">
        <f>'12.1.Разходи-увелич.и нам.'!O64</f>
        <v>15</v>
      </c>
      <c r="K64" s="2422">
        <f>'12.1.Разходи-увелич.и нам.'!P64</f>
        <v>37</v>
      </c>
      <c r="L64" s="2423">
        <f>$J64+('12.1.Разходи-увелич.и нам.'!Q64+'12.1.Разходи-увелич.и нам.'!R64)</f>
        <v>30</v>
      </c>
      <c r="M64" s="2423">
        <f>$J64+('12.1.Разходи-увелич.и нам.'!S64+'12.1.Разходи-увелич.и нам.'!T64)</f>
        <v>30</v>
      </c>
      <c r="N64" s="2423">
        <f>$J64+('12.1.Разходи-увелич.и нам.'!U64+'12.1.Разходи-увелич.и нам.'!V64)</f>
        <v>33</v>
      </c>
      <c r="O64" s="2423">
        <f>$J64+('12.1.Разходи-увелич.и нам.'!W64+'12.1.Разходи-увелич.и нам.'!X64)</f>
        <v>33</v>
      </c>
      <c r="P64" s="2424">
        <f>$J64+('12.1.Разходи-увелич.и нам.'!Y64+'12.1.Разходи-увелич.и нам.'!Z64)</f>
        <v>35</v>
      </c>
      <c r="Q64" s="2425">
        <f>'12.1.Разходи-увелич.и нам.'!AA64</f>
        <v>14</v>
      </c>
      <c r="R64" s="2426">
        <f>'12.1.Разходи-увелич.и нам.'!AB64</f>
        <v>23</v>
      </c>
      <c r="S64" s="2423">
        <f>$Q64+('12.1.Разходи-увелич.и нам.'!AC64+'12.1.Разходи-увелич.и нам.'!AD64)</f>
        <v>41</v>
      </c>
      <c r="T64" s="2423">
        <f>$Q64+('12.1.Разходи-увелич.и нам.'!AE64+'12.1.Разходи-увелич.и нам.'!AF64)</f>
        <v>46</v>
      </c>
      <c r="U64" s="2423">
        <f>$Q64+('12.1.Разходи-увелич.и нам.'!AG64+'12.1.Разходи-увелич.и нам.'!AH64)</f>
        <v>52</v>
      </c>
      <c r="V64" s="2423">
        <f>$Q64+('12.1.Разходи-увелич.и нам.'!AI64+'12.1.Разходи-увелич.и нам.'!AJ64)</f>
        <v>58</v>
      </c>
      <c r="W64" s="2424">
        <f>$Q64+('12.1.Разходи-увелич.и нам.'!AK64+'12.1.Разходи-увелич.и нам.'!AL64)</f>
        <v>58</v>
      </c>
      <c r="X64" s="2246">
        <v>6</v>
      </c>
      <c r="Y64" s="2246">
        <v>11</v>
      </c>
      <c r="Z64" s="795">
        <v>10</v>
      </c>
      <c r="AA64" s="782">
        <v>10</v>
      </c>
      <c r="AB64" s="782">
        <v>10</v>
      </c>
      <c r="AC64" s="782">
        <v>10</v>
      </c>
      <c r="AD64" s="791">
        <v>11</v>
      </c>
    </row>
    <row r="65" spans="1:39" ht="24.75" thickBot="1">
      <c r="A65" s="1031" t="s">
        <v>92</v>
      </c>
      <c r="B65" s="1242" t="s">
        <v>856</v>
      </c>
      <c r="C65" s="2425">
        <f>'12.1.Разходи-увелич.и нам.'!C65</f>
        <v>0</v>
      </c>
      <c r="D65" s="2427">
        <f>'12.1.Разходи-увелич.и нам.'!D65</f>
        <v>0</v>
      </c>
      <c r="E65" s="2428">
        <f>$C65+('12.1.Разходи-увелич.и нам.'!E65+'12.1.Разходи-увелич.и нам.'!F65)</f>
        <v>0</v>
      </c>
      <c r="F65" s="2428">
        <f>$C65+('12.1.Разходи-увелич.и нам.'!G65+'12.1.Разходи-увелич.и нам.'!H65)</f>
        <v>0</v>
      </c>
      <c r="G65" s="2428">
        <f>$C65+('12.1.Разходи-увелич.и нам.'!I65+'12.1.Разходи-увелич.и нам.'!J65)</f>
        <v>0</v>
      </c>
      <c r="H65" s="2428">
        <f>$C65+('12.1.Разходи-увелич.и нам.'!K65+'12.1.Разходи-увелич.и нам.'!L65)</f>
        <v>0</v>
      </c>
      <c r="I65" s="1497">
        <f>$C65+('12.1.Разходи-увелич.и нам.'!M65+'12.1.Разходи-увелич.и нам.'!N65)</f>
        <v>0</v>
      </c>
      <c r="J65" s="2425">
        <f>'12.1.Разходи-увелич.и нам.'!O65</f>
        <v>0</v>
      </c>
      <c r="K65" s="2422">
        <f>'12.1.Разходи-увелич.и нам.'!P65</f>
        <v>0</v>
      </c>
      <c r="L65" s="2423">
        <f>$J65+('12.1.Разходи-увелич.и нам.'!Q65+'12.1.Разходи-увелич.и нам.'!R65)</f>
        <v>0</v>
      </c>
      <c r="M65" s="2423">
        <f>$J65+('12.1.Разходи-увелич.и нам.'!S65+'12.1.Разходи-увелич.и нам.'!T65)</f>
        <v>0</v>
      </c>
      <c r="N65" s="2423">
        <f>$J65+('12.1.Разходи-увелич.и нам.'!U65+'12.1.Разходи-увелич.и нам.'!V65)</f>
        <v>0</v>
      </c>
      <c r="O65" s="2423">
        <f>$J65+('12.1.Разходи-увелич.и нам.'!W65+'12.1.Разходи-увелич.и нам.'!X65)</f>
        <v>0</v>
      </c>
      <c r="P65" s="2424">
        <f>$J65+('12.1.Разходи-увелич.и нам.'!Y65+'12.1.Разходи-увелич.и нам.'!Z65)</f>
        <v>0</v>
      </c>
      <c r="Q65" s="2425">
        <f>'12.1.Разходи-увелич.и нам.'!AA65</f>
        <v>0</v>
      </c>
      <c r="R65" s="2426">
        <f>'12.1.Разходи-увелич.и нам.'!AB65</f>
        <v>0</v>
      </c>
      <c r="S65" s="2423">
        <f>$Q65+('12.1.Разходи-увелич.и нам.'!AC65+'12.1.Разходи-увелич.и нам.'!AD65)</f>
        <v>0</v>
      </c>
      <c r="T65" s="2423">
        <f>$Q65+('12.1.Разходи-увелич.и нам.'!AE65+'12.1.Разходи-увелич.и нам.'!AF65)</f>
        <v>0</v>
      </c>
      <c r="U65" s="2423">
        <f>$Q65+('12.1.Разходи-увелич.и нам.'!AG65+'12.1.Разходи-увелич.и нам.'!AH65)</f>
        <v>0</v>
      </c>
      <c r="V65" s="2423">
        <f>$Q65+('12.1.Разходи-увелич.и нам.'!AI65+'12.1.Разходи-увелич.и нам.'!AJ65)</f>
        <v>0</v>
      </c>
      <c r="W65" s="2424">
        <f>$Q65+('12.1.Разходи-увелич.и нам.'!AK65+'12.1.Разходи-увелич.и нам.'!AL65)</f>
        <v>0</v>
      </c>
      <c r="X65" s="2246"/>
      <c r="Y65" s="2246"/>
      <c r="Z65" s="795"/>
      <c r="AA65" s="782"/>
      <c r="AB65" s="782"/>
      <c r="AC65" s="782"/>
      <c r="AD65" s="791"/>
    </row>
    <row r="66" spans="1:39" ht="15.75" thickBot="1">
      <c r="A66" s="1054">
        <v>6</v>
      </c>
      <c r="B66" s="1046" t="s">
        <v>626</v>
      </c>
      <c r="C66" s="2066">
        <f t="shared" ref="C66:AD66" si="19">SUM(C67:C71)</f>
        <v>540</v>
      </c>
      <c r="D66" s="1047">
        <f t="shared" si="19"/>
        <v>524</v>
      </c>
      <c r="E66" s="1071">
        <f t="shared" si="19"/>
        <v>521</v>
      </c>
      <c r="F66" s="1072">
        <f t="shared" si="19"/>
        <v>521</v>
      </c>
      <c r="G66" s="1072">
        <f t="shared" si="19"/>
        <v>521</v>
      </c>
      <c r="H66" s="1074">
        <f t="shared" si="19"/>
        <v>499</v>
      </c>
      <c r="I66" s="1073">
        <f t="shared" si="19"/>
        <v>478</v>
      </c>
      <c r="J66" s="2066">
        <f t="shared" si="19"/>
        <v>23</v>
      </c>
      <c r="K66" s="1047">
        <f t="shared" si="19"/>
        <v>24</v>
      </c>
      <c r="L66" s="1091">
        <f t="shared" si="19"/>
        <v>23</v>
      </c>
      <c r="M66" s="1072">
        <f t="shared" si="19"/>
        <v>23</v>
      </c>
      <c r="N66" s="1072">
        <f t="shared" si="19"/>
        <v>23</v>
      </c>
      <c r="O66" s="1072">
        <f t="shared" si="19"/>
        <v>23</v>
      </c>
      <c r="P66" s="1244">
        <f t="shared" si="19"/>
        <v>23</v>
      </c>
      <c r="Q66" s="2066">
        <f t="shared" si="19"/>
        <v>7</v>
      </c>
      <c r="R66" s="1047">
        <f t="shared" si="19"/>
        <v>6</v>
      </c>
      <c r="S66" s="1071">
        <f t="shared" si="19"/>
        <v>7</v>
      </c>
      <c r="T66" s="1072">
        <f t="shared" si="19"/>
        <v>7</v>
      </c>
      <c r="U66" s="1072">
        <f t="shared" si="19"/>
        <v>7</v>
      </c>
      <c r="V66" s="1072">
        <f t="shared" si="19"/>
        <v>7</v>
      </c>
      <c r="W66" s="1244">
        <f t="shared" si="19"/>
        <v>7</v>
      </c>
      <c r="X66" s="1047">
        <f t="shared" si="19"/>
        <v>21</v>
      </c>
      <c r="Y66" s="1047">
        <f t="shared" si="19"/>
        <v>25</v>
      </c>
      <c r="Z66" s="1071">
        <f t="shared" si="19"/>
        <v>25</v>
      </c>
      <c r="AA66" s="1072">
        <f t="shared" si="19"/>
        <v>25</v>
      </c>
      <c r="AB66" s="1072">
        <f t="shared" si="19"/>
        <v>25</v>
      </c>
      <c r="AC66" s="1074">
        <f t="shared" si="19"/>
        <v>25</v>
      </c>
      <c r="AD66" s="1073">
        <f t="shared" si="19"/>
        <v>25</v>
      </c>
    </row>
    <row r="67" spans="1:39">
      <c r="A67" s="1031" t="s">
        <v>333</v>
      </c>
      <c r="B67" s="1032" t="s">
        <v>627</v>
      </c>
      <c r="C67" s="2425">
        <f>'12.1.Разходи-увелич.и нам.'!C67</f>
        <v>47</v>
      </c>
      <c r="D67" s="2427">
        <f>'12.1.Разходи-увелич.и нам.'!D67</f>
        <v>46</v>
      </c>
      <c r="E67" s="2428">
        <f>$C67+('12.1.Разходи-увелич.и нам.'!E67+'12.1.Разходи-увелич.и нам.'!F67)</f>
        <v>47</v>
      </c>
      <c r="F67" s="2428">
        <f>$C67+('12.1.Разходи-увелич.и нам.'!G67+'12.1.Разходи-увелич.и нам.'!H67)</f>
        <v>47</v>
      </c>
      <c r="G67" s="2428">
        <f>$C67+('12.1.Разходи-увелич.и нам.'!I67+'12.1.Разходи-увелич.и нам.'!J67)</f>
        <v>47</v>
      </c>
      <c r="H67" s="2428">
        <f>$C67+('12.1.Разходи-увелич.и нам.'!K67+'12.1.Разходи-увелич.и нам.'!L67)</f>
        <v>47</v>
      </c>
      <c r="I67" s="1497">
        <f>$C67+('12.1.Разходи-увелич.и нам.'!M67+'12.1.Разходи-увелич.и нам.'!N67)</f>
        <v>47</v>
      </c>
      <c r="J67" s="2425">
        <f>'12.1.Разходи-увелич.и нам.'!O67</f>
        <v>5</v>
      </c>
      <c r="K67" s="2422">
        <f>'12.1.Разходи-увелич.и нам.'!P67</f>
        <v>5</v>
      </c>
      <c r="L67" s="2423">
        <f>$J67+('12.1.Разходи-увелич.и нам.'!Q67+'12.1.Разходи-увелич.и нам.'!R67)</f>
        <v>5</v>
      </c>
      <c r="M67" s="2423">
        <f>$J67+('12.1.Разходи-увелич.и нам.'!S67+'12.1.Разходи-увелич.и нам.'!T67)</f>
        <v>5</v>
      </c>
      <c r="N67" s="2423">
        <f>$J67+('12.1.Разходи-увелич.и нам.'!U67+'12.1.Разходи-увелич.и нам.'!V67)</f>
        <v>5</v>
      </c>
      <c r="O67" s="2423">
        <f>$J67+('12.1.Разходи-увелич.и нам.'!W67+'12.1.Разходи-увелич.и нам.'!X67)</f>
        <v>5</v>
      </c>
      <c r="P67" s="2424">
        <f>$J67+('12.1.Разходи-увелич.и нам.'!Y67+'12.1.Разходи-увелич.и нам.'!Z67)</f>
        <v>5</v>
      </c>
      <c r="Q67" s="2425">
        <f>'12.1.Разходи-увелич.и нам.'!AA67</f>
        <v>4</v>
      </c>
      <c r="R67" s="2426">
        <f>'12.1.Разходи-увелич.и нам.'!AB67</f>
        <v>3</v>
      </c>
      <c r="S67" s="2423">
        <f>$Q67+('12.1.Разходи-увелич.и нам.'!AC67+'12.1.Разходи-увелич.и нам.'!AD67)</f>
        <v>4</v>
      </c>
      <c r="T67" s="2423">
        <f>$Q67+('12.1.Разходи-увелич.и нам.'!AE67+'12.1.Разходи-увелич.и нам.'!AF67)</f>
        <v>4</v>
      </c>
      <c r="U67" s="2423">
        <f>$Q67+('12.1.Разходи-увелич.и нам.'!AG67+'12.1.Разходи-увелич.и нам.'!AH67)</f>
        <v>4</v>
      </c>
      <c r="V67" s="2423">
        <f>$Q67+('12.1.Разходи-увелич.и нам.'!AI67+'12.1.Разходи-увелич.и нам.'!AJ67)</f>
        <v>4</v>
      </c>
      <c r="W67" s="2424">
        <f>$Q67+('12.1.Разходи-увелич.и нам.'!AK67+'12.1.Разходи-увелич.и нам.'!AL67)</f>
        <v>4</v>
      </c>
      <c r="X67" s="2246">
        <v>17</v>
      </c>
      <c r="Y67" s="2246">
        <v>21</v>
      </c>
      <c r="Z67" s="795">
        <v>21</v>
      </c>
      <c r="AA67" s="782">
        <v>21</v>
      </c>
      <c r="AB67" s="782">
        <v>21</v>
      </c>
      <c r="AC67" s="782">
        <v>21</v>
      </c>
      <c r="AD67" s="791">
        <v>21</v>
      </c>
    </row>
    <row r="68" spans="1:39">
      <c r="A68" s="1031" t="s">
        <v>335</v>
      </c>
      <c r="B68" s="1063" t="s">
        <v>628</v>
      </c>
      <c r="C68" s="2425">
        <f>'12.1.Разходи-увелич.и нам.'!C68</f>
        <v>36</v>
      </c>
      <c r="D68" s="2427">
        <f>'12.1.Разходи-увелич.и нам.'!D68</f>
        <v>37</v>
      </c>
      <c r="E68" s="2428">
        <f>$C68+('12.1.Разходи-увелич.и нам.'!E68+'12.1.Разходи-увелич.и нам.'!F68)</f>
        <v>44</v>
      </c>
      <c r="F68" s="2428">
        <f>$C68+('12.1.Разходи-увелич.и нам.'!G68+'12.1.Разходи-увелич.и нам.'!H68)</f>
        <v>44</v>
      </c>
      <c r="G68" s="2428">
        <f>$C68+('12.1.Разходи-увелич.и нам.'!I68+'12.1.Разходи-увелич.и нам.'!J68)</f>
        <v>44</v>
      </c>
      <c r="H68" s="2428">
        <f>$C68+('12.1.Разходи-увелич.и нам.'!K68+'12.1.Разходи-увелич.и нам.'!L68)</f>
        <v>42</v>
      </c>
      <c r="I68" s="1497">
        <f>$C68+('12.1.Разходи-увелич.и нам.'!M68+'12.1.Разходи-увелич.и нам.'!N68)</f>
        <v>40</v>
      </c>
      <c r="J68" s="2425">
        <f>'12.1.Разходи-увелич.и нам.'!O68</f>
        <v>3</v>
      </c>
      <c r="K68" s="2422">
        <f>'12.1.Разходи-увелич.и нам.'!P68</f>
        <v>3</v>
      </c>
      <c r="L68" s="2423">
        <f>$J68+('12.1.Разходи-увелич.и нам.'!Q68+'12.1.Разходи-увелич.и нам.'!R68)</f>
        <v>3</v>
      </c>
      <c r="M68" s="2423">
        <f>$J68+('12.1.Разходи-увелич.и нам.'!S68+'12.1.Разходи-увелич.и нам.'!T68)</f>
        <v>3</v>
      </c>
      <c r="N68" s="2423">
        <f>$J68+('12.1.Разходи-увелич.и нам.'!U68+'12.1.Разходи-увелич.и нам.'!V68)</f>
        <v>3</v>
      </c>
      <c r="O68" s="2423">
        <f>$J68+('12.1.Разходи-увелич.и нам.'!W68+'12.1.Разходи-увелич.и нам.'!X68)</f>
        <v>3</v>
      </c>
      <c r="P68" s="2424">
        <f>$J68+('12.1.Разходи-увелич.и нам.'!Y68+'12.1.Разходи-увелич.и нам.'!Z68)</f>
        <v>3</v>
      </c>
      <c r="Q68" s="2425">
        <f>'12.1.Разходи-увелич.и нам.'!AA68</f>
        <v>3</v>
      </c>
      <c r="R68" s="2426">
        <f>'12.1.Разходи-увелич.и нам.'!AB68</f>
        <v>3</v>
      </c>
      <c r="S68" s="2423">
        <f>$Q68+('12.1.Разходи-увелич.и нам.'!AC68+'12.1.Разходи-увелич.и нам.'!AD68)</f>
        <v>3</v>
      </c>
      <c r="T68" s="2423">
        <f>$Q68+('12.1.Разходи-увелич.и нам.'!AE68+'12.1.Разходи-увелич.и нам.'!AF68)</f>
        <v>3</v>
      </c>
      <c r="U68" s="2423">
        <f>$Q68+('12.1.Разходи-увелич.и нам.'!AG68+'12.1.Разходи-увелич.и нам.'!AH68)</f>
        <v>3</v>
      </c>
      <c r="V68" s="2423">
        <f>$Q68+('12.1.Разходи-увелич.и нам.'!AI68+'12.1.Разходи-увелич.и нам.'!AJ68)</f>
        <v>3</v>
      </c>
      <c r="W68" s="2424">
        <f>$Q68+('12.1.Разходи-увелич.и нам.'!AK68+'12.1.Разходи-увелич.и нам.'!AL68)</f>
        <v>3</v>
      </c>
      <c r="X68" s="2246">
        <v>0</v>
      </c>
      <c r="Y68" s="2246">
        <v>0</v>
      </c>
      <c r="Z68" s="795">
        <v>0</v>
      </c>
      <c r="AA68" s="782">
        <v>0</v>
      </c>
      <c r="AB68" s="782">
        <v>0</v>
      </c>
      <c r="AC68" s="782">
        <v>0</v>
      </c>
      <c r="AD68" s="791">
        <v>0</v>
      </c>
    </row>
    <row r="69" spans="1:39">
      <c r="A69" s="1031" t="s">
        <v>337</v>
      </c>
      <c r="B69" s="1038" t="s">
        <v>629</v>
      </c>
      <c r="C69" s="2425">
        <f>'12.1.Разходи-увелич.и нам.'!C69</f>
        <v>457</v>
      </c>
      <c r="D69" s="2427">
        <f>'12.1.Разходи-увелич.и нам.'!D69</f>
        <v>441</v>
      </c>
      <c r="E69" s="2428">
        <f>$C69+('12.1.Разходи-увелич.и нам.'!E69+'12.1.Разходи-увелич.и нам.'!F69)</f>
        <v>430</v>
      </c>
      <c r="F69" s="2428">
        <f>$C69+('12.1.Разходи-увелич.и нам.'!G69+'12.1.Разходи-увелич.и нам.'!H69)</f>
        <v>430</v>
      </c>
      <c r="G69" s="2428">
        <f>$C69+('12.1.Разходи-увелич.и нам.'!I69+'12.1.Разходи-увелич.и нам.'!J69)</f>
        <v>430</v>
      </c>
      <c r="H69" s="2428">
        <f>$C69+('12.1.Разходи-увелич.и нам.'!K69+'12.1.Разходи-увелич.и нам.'!L69)</f>
        <v>410</v>
      </c>
      <c r="I69" s="1497">
        <f>$C69+('12.1.Разходи-увелич.и нам.'!M69+'12.1.Разходи-увелич.и нам.'!N69)</f>
        <v>391</v>
      </c>
      <c r="J69" s="2425">
        <f>'12.1.Разходи-увелич.и нам.'!O69</f>
        <v>0</v>
      </c>
      <c r="K69" s="2422">
        <f>'12.1.Разходи-увелич.и нам.'!P69</f>
        <v>0</v>
      </c>
      <c r="L69" s="2423">
        <f>$J69+('12.1.Разходи-увелич.и нам.'!Q69+'12.1.Разходи-увелич.и нам.'!R69)</f>
        <v>0</v>
      </c>
      <c r="M69" s="2423">
        <f>$J69+('12.1.Разходи-увелич.и нам.'!S69+'12.1.Разходи-увелич.и нам.'!T69)</f>
        <v>0</v>
      </c>
      <c r="N69" s="2423">
        <f>$J69+('12.1.Разходи-увелич.и нам.'!U69+'12.1.Разходи-увелич.и нам.'!V69)</f>
        <v>0</v>
      </c>
      <c r="O69" s="2423">
        <f>$J69+('12.1.Разходи-увелич.и нам.'!W69+'12.1.Разходи-увелич.и нам.'!X69)</f>
        <v>0</v>
      </c>
      <c r="P69" s="2424">
        <f>$J69+('12.1.Разходи-увелич.и нам.'!Y69+'12.1.Разходи-увелич.и нам.'!Z69)</f>
        <v>0</v>
      </c>
      <c r="Q69" s="2425">
        <f>'12.1.Разходи-увелич.и нам.'!AA69</f>
        <v>0</v>
      </c>
      <c r="R69" s="2426">
        <f>'12.1.Разходи-увелич.и нам.'!AB69</f>
        <v>0</v>
      </c>
      <c r="S69" s="2423">
        <f>$Q69+('12.1.Разходи-увелич.и нам.'!AC69+'12.1.Разходи-увелич.и нам.'!AD69)</f>
        <v>0</v>
      </c>
      <c r="T69" s="2423">
        <f>$Q69+('12.1.Разходи-увелич.и нам.'!AE69+'12.1.Разходи-увелич.и нам.'!AF69)</f>
        <v>0</v>
      </c>
      <c r="U69" s="2423">
        <f>$Q69+('12.1.Разходи-увелич.и нам.'!AG69+'12.1.Разходи-увелич.и нам.'!AH69)</f>
        <v>0</v>
      </c>
      <c r="V69" s="2423">
        <f>$Q69+('12.1.Разходи-увелич.и нам.'!AI69+'12.1.Разходи-увелич.и нам.'!AJ69)</f>
        <v>0</v>
      </c>
      <c r="W69" s="2424">
        <f>$Q69+('12.1.Разходи-увелич.и нам.'!AK69+'12.1.Разходи-увелич.и нам.'!AL69)</f>
        <v>0</v>
      </c>
      <c r="X69" s="2246">
        <v>4</v>
      </c>
      <c r="Y69" s="2246">
        <v>4</v>
      </c>
      <c r="Z69" s="795">
        <v>4</v>
      </c>
      <c r="AA69" s="782">
        <v>4</v>
      </c>
      <c r="AB69" s="782">
        <v>4</v>
      </c>
      <c r="AC69" s="782">
        <v>4</v>
      </c>
      <c r="AD69" s="791">
        <v>4</v>
      </c>
    </row>
    <row r="70" spans="1:39">
      <c r="A70" s="1031" t="s">
        <v>339</v>
      </c>
      <c r="B70" s="1038" t="s">
        <v>630</v>
      </c>
      <c r="C70" s="2425">
        <f>'12.1.Разходи-увелич.и нам.'!C70</f>
        <v>0</v>
      </c>
      <c r="D70" s="2427">
        <f>'12.1.Разходи-увелич.и нам.'!D70</f>
        <v>0</v>
      </c>
      <c r="E70" s="2428">
        <f>$C70+('12.1.Разходи-увелич.и нам.'!E70+'12.1.Разходи-увелич.и нам.'!F70)</f>
        <v>0</v>
      </c>
      <c r="F70" s="2428">
        <f>$C70+('12.1.Разходи-увелич.и нам.'!G70+'12.1.Разходи-увелич.и нам.'!H70)</f>
        <v>0</v>
      </c>
      <c r="G70" s="2428">
        <f>$C70+('12.1.Разходи-увелич.и нам.'!I70+'12.1.Разходи-увелич.и нам.'!J70)</f>
        <v>0</v>
      </c>
      <c r="H70" s="2428">
        <f>$C70+('12.1.Разходи-увелич.и нам.'!K70+'12.1.Разходи-увелич.и нам.'!L70)</f>
        <v>0</v>
      </c>
      <c r="I70" s="1497">
        <f>$C70+('12.1.Разходи-увелич.и нам.'!M70+'12.1.Разходи-увелич.и нам.'!N70)</f>
        <v>0</v>
      </c>
      <c r="J70" s="2425">
        <f>'12.1.Разходи-увелич.и нам.'!O70</f>
        <v>15</v>
      </c>
      <c r="K70" s="2422">
        <f>'12.1.Разходи-увелич.и нам.'!P70</f>
        <v>16</v>
      </c>
      <c r="L70" s="2423">
        <f>$J70+('12.1.Разходи-увелич.и нам.'!Q70+'12.1.Разходи-увелич.и нам.'!R70)</f>
        <v>15</v>
      </c>
      <c r="M70" s="2423">
        <f>$J70+('12.1.Разходи-увелич.и нам.'!S70+'12.1.Разходи-увелич.и нам.'!T70)</f>
        <v>15</v>
      </c>
      <c r="N70" s="2423">
        <f>$J70+('12.1.Разходи-увелич.и нам.'!U70+'12.1.Разходи-увелич.и нам.'!V70)</f>
        <v>15</v>
      </c>
      <c r="O70" s="2423">
        <f>$J70+('12.1.Разходи-увелич.и нам.'!W70+'12.1.Разходи-увелич.и нам.'!X70)</f>
        <v>15</v>
      </c>
      <c r="P70" s="2424">
        <f>$J70+('12.1.Разходи-увелич.и нам.'!Y70+'12.1.Разходи-увелич.и нам.'!Z70)</f>
        <v>15</v>
      </c>
      <c r="Q70" s="2425">
        <f>'12.1.Разходи-увелич.и нам.'!AA70</f>
        <v>0</v>
      </c>
      <c r="R70" s="2426">
        <f>'12.1.Разходи-увелич.и нам.'!AB70</f>
        <v>0</v>
      </c>
      <c r="S70" s="2423">
        <f>$Q70+('12.1.Разходи-увелич.и нам.'!AC70+'12.1.Разходи-увелич.и нам.'!AD70)</f>
        <v>0</v>
      </c>
      <c r="T70" s="2423">
        <f>$Q70+('12.1.Разходи-увелич.и нам.'!AE70+'12.1.Разходи-увелич.и нам.'!AF70)</f>
        <v>0</v>
      </c>
      <c r="U70" s="2423">
        <f>$Q70+('12.1.Разходи-увелич.и нам.'!AG70+'12.1.Разходи-увелич.и нам.'!AH70)</f>
        <v>0</v>
      </c>
      <c r="V70" s="2423">
        <f>$Q70+('12.1.Разходи-увелич.и нам.'!AI70+'12.1.Разходи-увелич.и нам.'!AJ70)</f>
        <v>0</v>
      </c>
      <c r="W70" s="2424">
        <f>$Q70+('12.1.Разходи-увелич.и нам.'!AK70+'12.1.Разходи-увелич.и нам.'!AL70)</f>
        <v>0</v>
      </c>
      <c r="X70" s="2246">
        <v>0</v>
      </c>
      <c r="Y70" s="2246">
        <v>0</v>
      </c>
      <c r="Z70" s="795">
        <v>0</v>
      </c>
      <c r="AA70" s="782">
        <v>0</v>
      </c>
      <c r="AB70" s="782">
        <v>0</v>
      </c>
      <c r="AC70" s="782">
        <v>0</v>
      </c>
      <c r="AD70" s="791">
        <v>0</v>
      </c>
    </row>
    <row r="71" spans="1:39" ht="15.75" thickBot="1">
      <c r="A71" s="1031" t="s">
        <v>341</v>
      </c>
      <c r="B71" s="1038" t="s">
        <v>631</v>
      </c>
      <c r="C71" s="2425">
        <f>'12.1.Разходи-увелич.и нам.'!C71</f>
        <v>0</v>
      </c>
      <c r="D71" s="2427">
        <f>'12.1.Разходи-увелич.и нам.'!D71</f>
        <v>0</v>
      </c>
      <c r="E71" s="2428">
        <f>$C71+('12.1.Разходи-увелич.и нам.'!E71+'12.1.Разходи-увелич.и нам.'!F71)</f>
        <v>0</v>
      </c>
      <c r="F71" s="2428">
        <f>$C71+('12.1.Разходи-увелич.и нам.'!G71+'12.1.Разходи-увелич.и нам.'!H71)</f>
        <v>0</v>
      </c>
      <c r="G71" s="2428">
        <f>$C71+('12.1.Разходи-увелич.и нам.'!I71+'12.1.Разходи-увелич.и нам.'!J71)</f>
        <v>0</v>
      </c>
      <c r="H71" s="2428">
        <f>$C71+('12.1.Разходи-увелич.и нам.'!K71+'12.1.Разходи-увелич.и нам.'!L71)</f>
        <v>0</v>
      </c>
      <c r="I71" s="1497">
        <f>$C71+('12.1.Разходи-увелич.и нам.'!M71+'12.1.Разходи-увелич.и нам.'!N71)</f>
        <v>0</v>
      </c>
      <c r="J71" s="2425">
        <f>'12.1.Разходи-увелич.и нам.'!O71</f>
        <v>0</v>
      </c>
      <c r="K71" s="2422">
        <f>'12.1.Разходи-увелич.и нам.'!P71</f>
        <v>0</v>
      </c>
      <c r="L71" s="2423">
        <f>$J71+('12.1.Разходи-увелич.и нам.'!Q71+'12.1.Разходи-увелич.и нам.'!R71)</f>
        <v>0</v>
      </c>
      <c r="M71" s="2423">
        <f>$J71+('12.1.Разходи-увелич.и нам.'!S71+'12.1.Разходи-увелич.и нам.'!T71)</f>
        <v>0</v>
      </c>
      <c r="N71" s="2423">
        <f>$J71+('12.1.Разходи-увелич.и нам.'!U71+'12.1.Разходи-увелич.и нам.'!V71)</f>
        <v>0</v>
      </c>
      <c r="O71" s="2423">
        <f>$J71+('12.1.Разходи-увелич.и нам.'!W71+'12.1.Разходи-увелич.и нам.'!X71)</f>
        <v>0</v>
      </c>
      <c r="P71" s="2424">
        <f>$J71+('12.1.Разходи-увелич.и нам.'!Y71+'12.1.Разходи-увелич.и нам.'!Z71)</f>
        <v>0</v>
      </c>
      <c r="Q71" s="2425">
        <f>'12.1.Разходи-увелич.и нам.'!AA71</f>
        <v>0</v>
      </c>
      <c r="R71" s="2426">
        <f>'12.1.Разходи-увелич.и нам.'!AB71</f>
        <v>0</v>
      </c>
      <c r="S71" s="2423">
        <f>$Q71+('12.1.Разходи-увелич.и нам.'!AC71+'12.1.Разходи-увелич.и нам.'!AD71)</f>
        <v>0</v>
      </c>
      <c r="T71" s="2423">
        <f>$Q71+('12.1.Разходи-увелич.и нам.'!AE71+'12.1.Разходи-увелич.и нам.'!AF71)</f>
        <v>0</v>
      </c>
      <c r="U71" s="2423">
        <f>$Q71+('12.1.Разходи-увелич.и нам.'!AG71+'12.1.Разходи-увелич.и нам.'!AH71)</f>
        <v>0</v>
      </c>
      <c r="V71" s="2423">
        <f>$Q71+('12.1.Разходи-увелич.и нам.'!AI71+'12.1.Разходи-увелич.и нам.'!AJ71)</f>
        <v>0</v>
      </c>
      <c r="W71" s="2424">
        <f>$Q71+('12.1.Разходи-увелич.и нам.'!AK71+'12.1.Разходи-увелич.и нам.'!AL71)</f>
        <v>0</v>
      </c>
      <c r="X71" s="2246">
        <v>0</v>
      </c>
      <c r="Y71" s="2246">
        <v>0</v>
      </c>
      <c r="Z71" s="795">
        <v>0</v>
      </c>
      <c r="AA71" s="782">
        <v>0</v>
      </c>
      <c r="AB71" s="782">
        <v>0</v>
      </c>
      <c r="AC71" s="782">
        <v>0</v>
      </c>
      <c r="AD71" s="791">
        <v>0</v>
      </c>
    </row>
    <row r="72" spans="1:39" ht="15.75" thickBot="1">
      <c r="A72" s="1054">
        <v>7</v>
      </c>
      <c r="B72" s="1046" t="s">
        <v>332</v>
      </c>
      <c r="C72" s="2066">
        <f t="shared" ref="C72:AD72" si="20">SUM(C73:C79)</f>
        <v>180</v>
      </c>
      <c r="D72" s="1047">
        <f t="shared" si="20"/>
        <v>164</v>
      </c>
      <c r="E72" s="1071">
        <f t="shared" si="20"/>
        <v>180</v>
      </c>
      <c r="F72" s="1072">
        <f t="shared" si="20"/>
        <v>180</v>
      </c>
      <c r="G72" s="1072">
        <f t="shared" si="20"/>
        <v>180</v>
      </c>
      <c r="H72" s="1074">
        <f t="shared" si="20"/>
        <v>180</v>
      </c>
      <c r="I72" s="1073">
        <f t="shared" si="20"/>
        <v>180</v>
      </c>
      <c r="J72" s="2066">
        <f t="shared" si="20"/>
        <v>11</v>
      </c>
      <c r="K72" s="1047">
        <f t="shared" si="20"/>
        <v>11</v>
      </c>
      <c r="L72" s="1091">
        <f t="shared" si="20"/>
        <v>11</v>
      </c>
      <c r="M72" s="1072">
        <f t="shared" si="20"/>
        <v>11</v>
      </c>
      <c r="N72" s="1072">
        <f t="shared" si="20"/>
        <v>11</v>
      </c>
      <c r="O72" s="1072">
        <f t="shared" si="20"/>
        <v>11</v>
      </c>
      <c r="P72" s="1244">
        <f t="shared" si="20"/>
        <v>11</v>
      </c>
      <c r="Q72" s="2066">
        <f t="shared" si="20"/>
        <v>11</v>
      </c>
      <c r="R72" s="1047">
        <f t="shared" si="20"/>
        <v>20</v>
      </c>
      <c r="S72" s="1071">
        <f t="shared" si="20"/>
        <v>11</v>
      </c>
      <c r="T72" s="1072">
        <f t="shared" si="20"/>
        <v>11</v>
      </c>
      <c r="U72" s="1072">
        <f t="shared" si="20"/>
        <v>11</v>
      </c>
      <c r="V72" s="1072">
        <f t="shared" si="20"/>
        <v>11</v>
      </c>
      <c r="W72" s="1244">
        <f t="shared" si="20"/>
        <v>11</v>
      </c>
      <c r="X72" s="1047">
        <f t="shared" si="20"/>
        <v>202</v>
      </c>
      <c r="Y72" s="1047">
        <f t="shared" si="20"/>
        <v>28</v>
      </c>
      <c r="Z72" s="1071">
        <f t="shared" si="20"/>
        <v>26</v>
      </c>
      <c r="AA72" s="1072">
        <f t="shared" si="20"/>
        <v>26</v>
      </c>
      <c r="AB72" s="1072">
        <f t="shared" si="20"/>
        <v>26</v>
      </c>
      <c r="AC72" s="1074">
        <f t="shared" si="20"/>
        <v>26</v>
      </c>
      <c r="AD72" s="1073">
        <f t="shared" si="20"/>
        <v>26</v>
      </c>
    </row>
    <row r="73" spans="1:39">
      <c r="A73" s="487" t="s">
        <v>232</v>
      </c>
      <c r="B73" s="1032" t="s">
        <v>334</v>
      </c>
      <c r="C73" s="2425">
        <f>'12.1.Разходи-увелич.и нам.'!C73</f>
        <v>0</v>
      </c>
      <c r="D73" s="2427">
        <f>'12.1.Разходи-увелич.и нам.'!D73</f>
        <v>0</v>
      </c>
      <c r="E73" s="2428">
        <f>$C73+('12.1.Разходи-увелич.и нам.'!E73+'12.1.Разходи-увелич.и нам.'!F73)</f>
        <v>0</v>
      </c>
      <c r="F73" s="2428">
        <f>$C73+('12.1.Разходи-увелич.и нам.'!G73+'12.1.Разходи-увелич.и нам.'!H73)</f>
        <v>0</v>
      </c>
      <c r="G73" s="2428">
        <f>$C73+('12.1.Разходи-увелич.и нам.'!I73+'12.1.Разходи-увелич.и нам.'!J73)</f>
        <v>0</v>
      </c>
      <c r="H73" s="2428">
        <f>$C73+('12.1.Разходи-увелич.и нам.'!K73+'12.1.Разходи-увелич.и нам.'!L73)</f>
        <v>0</v>
      </c>
      <c r="I73" s="1497">
        <f>$C73+('12.1.Разходи-увелич.и нам.'!M73+'12.1.Разходи-увелич.и нам.'!N73)</f>
        <v>0</v>
      </c>
      <c r="J73" s="2425">
        <f>'12.1.Разходи-увелич.и нам.'!O73</f>
        <v>0</v>
      </c>
      <c r="K73" s="2422">
        <f>'12.1.Разходи-увелич.и нам.'!P73</f>
        <v>0</v>
      </c>
      <c r="L73" s="2423">
        <f>$J73+('12.1.Разходи-увелич.и нам.'!Q73+'12.1.Разходи-увелич.и нам.'!R73)</f>
        <v>0</v>
      </c>
      <c r="M73" s="2423">
        <f>$J73+('12.1.Разходи-увелич.и нам.'!S73+'12.1.Разходи-увелич.и нам.'!T73)</f>
        <v>0</v>
      </c>
      <c r="N73" s="2423">
        <f>$J73+('12.1.Разходи-увелич.и нам.'!U73+'12.1.Разходи-увелич.и нам.'!V73)</f>
        <v>0</v>
      </c>
      <c r="O73" s="2423">
        <f>$J73+('12.1.Разходи-увелич.и нам.'!W73+'12.1.Разходи-увелич.и нам.'!X73)</f>
        <v>0</v>
      </c>
      <c r="P73" s="2424">
        <f>$J73+('12.1.Разходи-увелич.и нам.'!Y73+'12.1.Разходи-увелич.и нам.'!Z73)</f>
        <v>0</v>
      </c>
      <c r="Q73" s="2425">
        <f>'12.1.Разходи-увелич.и нам.'!AA73</f>
        <v>0</v>
      </c>
      <c r="R73" s="2426">
        <f>'12.1.Разходи-увелич.и нам.'!AB73</f>
        <v>0</v>
      </c>
      <c r="S73" s="2423">
        <f>$Q73+('12.1.Разходи-увелич.и нам.'!AC73+'12.1.Разходи-увелич.и нам.'!AD73)</f>
        <v>0</v>
      </c>
      <c r="T73" s="2423">
        <f>$Q73+('12.1.Разходи-увелич.и нам.'!AE73+'12.1.Разходи-увелич.и нам.'!AF73)</f>
        <v>0</v>
      </c>
      <c r="U73" s="2423">
        <f>$Q73+('12.1.Разходи-увелич.и нам.'!AG73+'12.1.Разходи-увелич.и нам.'!AH73)</f>
        <v>0</v>
      </c>
      <c r="V73" s="2423">
        <f>$Q73+('12.1.Разходи-увелич.и нам.'!AI73+'12.1.Разходи-увелич.и нам.'!AJ73)</f>
        <v>0</v>
      </c>
      <c r="W73" s="2424">
        <f>$Q73+('12.1.Разходи-увелич.и нам.'!AK73+'12.1.Разходи-увелич.и нам.'!AL73)</f>
        <v>0</v>
      </c>
      <c r="X73" s="2246">
        <v>0</v>
      </c>
      <c r="Y73" s="2246">
        <v>0</v>
      </c>
      <c r="Z73" s="795">
        <v>0</v>
      </c>
      <c r="AA73" s="782">
        <v>0</v>
      </c>
      <c r="AB73" s="782">
        <v>0</v>
      </c>
      <c r="AC73" s="782">
        <v>0</v>
      </c>
      <c r="AD73" s="791">
        <v>0</v>
      </c>
    </row>
    <row r="74" spans="1:39">
      <c r="A74" s="487" t="s">
        <v>235</v>
      </c>
      <c r="B74" s="1063" t="s">
        <v>336</v>
      </c>
      <c r="C74" s="2425">
        <f>'12.1.Разходи-увелич.и нам.'!C74</f>
        <v>15</v>
      </c>
      <c r="D74" s="2427">
        <f>'12.1.Разходи-увелич.и нам.'!D74</f>
        <v>6</v>
      </c>
      <c r="E74" s="2428">
        <f>$C74+('12.1.Разходи-увелич.и нам.'!E74+'12.1.Разходи-увелич.и нам.'!F74)</f>
        <v>15</v>
      </c>
      <c r="F74" s="2428">
        <f>$C74+('12.1.Разходи-увелич.и нам.'!G74+'12.1.Разходи-увелич.и нам.'!H74)</f>
        <v>15</v>
      </c>
      <c r="G74" s="2428">
        <f>$C74+('12.1.Разходи-увелич.и нам.'!I74+'12.1.Разходи-увелич.и нам.'!J74)</f>
        <v>15</v>
      </c>
      <c r="H74" s="2428">
        <f>$C74+('12.1.Разходи-увелич.и нам.'!K74+'12.1.Разходи-увелич.и нам.'!L74)</f>
        <v>15</v>
      </c>
      <c r="I74" s="1497">
        <f>$C74+('12.1.Разходи-увелич.и нам.'!M74+'12.1.Разходи-увелич.и нам.'!N74)</f>
        <v>15</v>
      </c>
      <c r="J74" s="2425">
        <f>'12.1.Разходи-увелич.и нам.'!O74</f>
        <v>1</v>
      </c>
      <c r="K74" s="2422">
        <f>'12.1.Разходи-увелич.и нам.'!P74</f>
        <v>1</v>
      </c>
      <c r="L74" s="2423">
        <f>$J74+('12.1.Разходи-увелич.и нам.'!Q74+'12.1.Разходи-увелич.и нам.'!R74)</f>
        <v>1</v>
      </c>
      <c r="M74" s="2423">
        <f>$J74+('12.1.Разходи-увелич.и нам.'!S74+'12.1.Разходи-увелич.и нам.'!T74)</f>
        <v>1</v>
      </c>
      <c r="N74" s="2423">
        <f>$J74+('12.1.Разходи-увелич.и нам.'!U74+'12.1.Разходи-увелич.и нам.'!V74)</f>
        <v>1</v>
      </c>
      <c r="O74" s="2423">
        <f>$J74+('12.1.Разходи-увелич.и нам.'!W74+'12.1.Разходи-увелич.и нам.'!X74)</f>
        <v>1</v>
      </c>
      <c r="P74" s="2424">
        <f>$J74+('12.1.Разходи-увелич.и нам.'!Y74+'12.1.Разходи-увелич.и нам.'!Z74)</f>
        <v>1</v>
      </c>
      <c r="Q74" s="2425">
        <f>'12.1.Разходи-увелич.и нам.'!AA74</f>
        <v>3</v>
      </c>
      <c r="R74" s="2426">
        <f>'12.1.Разходи-увелич.и нам.'!AB74</f>
        <v>2</v>
      </c>
      <c r="S74" s="2423">
        <f>$Q74+('12.1.Разходи-увелич.и нам.'!AC74+'12.1.Разходи-увелич.и нам.'!AD74)</f>
        <v>3</v>
      </c>
      <c r="T74" s="2423">
        <f>$Q74+('12.1.Разходи-увелич.и нам.'!AE74+'12.1.Разходи-увелич.и нам.'!AF74)</f>
        <v>3</v>
      </c>
      <c r="U74" s="2423">
        <f>$Q74+('12.1.Разходи-увелич.и нам.'!AG74+'12.1.Разходи-увелич.и нам.'!AH74)</f>
        <v>3</v>
      </c>
      <c r="V74" s="2423">
        <f>$Q74+('12.1.Разходи-увелич.и нам.'!AI74+'12.1.Разходи-увелич.и нам.'!AJ74)</f>
        <v>3</v>
      </c>
      <c r="W74" s="2424">
        <f>$Q74+('12.1.Разходи-увелич.и нам.'!AK74+'12.1.Разходи-увелич.и нам.'!AL74)</f>
        <v>3</v>
      </c>
      <c r="X74" s="2246">
        <v>0</v>
      </c>
      <c r="Y74" s="2246">
        <v>0</v>
      </c>
      <c r="Z74" s="795">
        <v>0</v>
      </c>
      <c r="AA74" s="782">
        <v>0</v>
      </c>
      <c r="AB74" s="782">
        <v>0</v>
      </c>
      <c r="AC74" s="782">
        <v>0</v>
      </c>
      <c r="AD74" s="791">
        <v>0</v>
      </c>
    </row>
    <row r="75" spans="1:39">
      <c r="A75" s="487" t="s">
        <v>632</v>
      </c>
      <c r="B75" s="1038" t="s">
        <v>331</v>
      </c>
      <c r="C75" s="2425">
        <f>'12.1.Разходи-увелич.и нам.'!C75</f>
        <v>0</v>
      </c>
      <c r="D75" s="2427">
        <f>'12.1.Разходи-увелич.и нам.'!D75</f>
        <v>0</v>
      </c>
      <c r="E75" s="2428">
        <f>$C75+('12.1.Разходи-увелич.и нам.'!E75+'12.1.Разходи-увелич.и нам.'!F75)</f>
        <v>0</v>
      </c>
      <c r="F75" s="2428">
        <f>$C75+('12.1.Разходи-увелич.и нам.'!G75+'12.1.Разходи-увелич.и нам.'!H75)</f>
        <v>0</v>
      </c>
      <c r="G75" s="2428">
        <f>$C75+('12.1.Разходи-увелич.и нам.'!I75+'12.1.Разходи-увелич.и нам.'!J75)</f>
        <v>0</v>
      </c>
      <c r="H75" s="2428">
        <f>$C75+('12.1.Разходи-увелич.и нам.'!K75+'12.1.Разходи-увелич.и нам.'!L75)</f>
        <v>0</v>
      </c>
      <c r="I75" s="1497">
        <f>$C75+('12.1.Разходи-увелич.и нам.'!M75+'12.1.Разходи-увелич.и нам.'!N75)</f>
        <v>0</v>
      </c>
      <c r="J75" s="2425">
        <f>'12.1.Разходи-увелич.и нам.'!O75</f>
        <v>0</v>
      </c>
      <c r="K75" s="2422">
        <f>'12.1.Разходи-увелич.и нам.'!P75</f>
        <v>0</v>
      </c>
      <c r="L75" s="2423">
        <f>$J75+('12.1.Разходи-увелич.и нам.'!Q75+'12.1.Разходи-увелич.и нам.'!R75)</f>
        <v>0</v>
      </c>
      <c r="M75" s="2423">
        <f>$J75+('12.1.Разходи-увелич.и нам.'!S75+'12.1.Разходи-увелич.и нам.'!T75)</f>
        <v>0</v>
      </c>
      <c r="N75" s="2423">
        <f>$J75+('12.1.Разходи-увелич.и нам.'!U75+'12.1.Разходи-увелич.и нам.'!V75)</f>
        <v>0</v>
      </c>
      <c r="O75" s="2423">
        <f>$J75+('12.1.Разходи-увелич.и нам.'!W75+'12.1.Разходи-увелич.и нам.'!X75)</f>
        <v>0</v>
      </c>
      <c r="P75" s="2424">
        <f>$J75+('12.1.Разходи-увелич.и нам.'!Y75+'12.1.Разходи-увелич.и нам.'!Z75)</f>
        <v>0</v>
      </c>
      <c r="Q75" s="2425">
        <f>'12.1.Разходи-увелич.и нам.'!AA75</f>
        <v>0</v>
      </c>
      <c r="R75" s="2426">
        <f>'12.1.Разходи-увелич.и нам.'!AB75</f>
        <v>0</v>
      </c>
      <c r="S75" s="2423">
        <f>$Q75+('12.1.Разходи-увелич.и нам.'!AC75+'12.1.Разходи-увелич.и нам.'!AD75)</f>
        <v>0</v>
      </c>
      <c r="T75" s="2423">
        <f>$Q75+('12.1.Разходи-увелич.и нам.'!AE75+'12.1.Разходи-увелич.и нам.'!AF75)</f>
        <v>0</v>
      </c>
      <c r="U75" s="2423">
        <f>$Q75+('12.1.Разходи-увелич.и нам.'!AG75+'12.1.Разходи-увелич.и нам.'!AH75)</f>
        <v>0</v>
      </c>
      <c r="V75" s="2423">
        <f>$Q75+('12.1.Разходи-увелич.и нам.'!AI75+'12.1.Разходи-увелич.и нам.'!AJ75)</f>
        <v>0</v>
      </c>
      <c r="W75" s="2424">
        <f>$Q75+('12.1.Разходи-увелич.и нам.'!AK75+'12.1.Разходи-увелич.и нам.'!AL75)</f>
        <v>0</v>
      </c>
      <c r="X75" s="2246">
        <v>0</v>
      </c>
      <c r="Y75" s="2246">
        <v>0</v>
      </c>
      <c r="Z75" s="795">
        <v>0</v>
      </c>
      <c r="AA75" s="782">
        <v>0</v>
      </c>
      <c r="AB75" s="782">
        <v>0</v>
      </c>
      <c r="AC75" s="782">
        <v>0</v>
      </c>
      <c r="AD75" s="791">
        <v>0</v>
      </c>
    </row>
    <row r="76" spans="1:39">
      <c r="A76" s="487" t="s">
        <v>633</v>
      </c>
      <c r="B76" s="1032" t="s">
        <v>338</v>
      </c>
      <c r="C76" s="2425">
        <f>'12.1.Разходи-увелич.и нам.'!C76</f>
        <v>0</v>
      </c>
      <c r="D76" s="2427">
        <f>'12.1.Разходи-увелич.и нам.'!D76</f>
        <v>0</v>
      </c>
      <c r="E76" s="2428">
        <f>$C76+('12.1.Разходи-увелич.и нам.'!E76+'12.1.Разходи-увелич.и нам.'!F76)</f>
        <v>0</v>
      </c>
      <c r="F76" s="2428">
        <f>$C76+('12.1.Разходи-увелич.и нам.'!G76+'12.1.Разходи-увелич.и нам.'!H76)</f>
        <v>0</v>
      </c>
      <c r="G76" s="2428">
        <f>$C76+('12.1.Разходи-увелич.и нам.'!I76+'12.1.Разходи-увелич.и нам.'!J76)</f>
        <v>0</v>
      </c>
      <c r="H76" s="2428">
        <f>$C76+('12.1.Разходи-увелич.и нам.'!K76+'12.1.Разходи-увелич.и нам.'!L76)</f>
        <v>0</v>
      </c>
      <c r="I76" s="1497">
        <f>$C76+('12.1.Разходи-увелич.и нам.'!M76+'12.1.Разходи-увелич.и нам.'!N76)</f>
        <v>0</v>
      </c>
      <c r="J76" s="2425">
        <f>'12.1.Разходи-увелич.и нам.'!O76</f>
        <v>0</v>
      </c>
      <c r="K76" s="2422">
        <f>'12.1.Разходи-увелич.и нам.'!P76</f>
        <v>0</v>
      </c>
      <c r="L76" s="2423">
        <f>$J76+('12.1.Разходи-увелич.и нам.'!Q76+'12.1.Разходи-увелич.и нам.'!R76)</f>
        <v>0</v>
      </c>
      <c r="M76" s="2423">
        <f>$J76+('12.1.Разходи-увелич.и нам.'!S76+'12.1.Разходи-увелич.и нам.'!T76)</f>
        <v>0</v>
      </c>
      <c r="N76" s="2423">
        <f>$J76+('12.1.Разходи-увелич.и нам.'!U76+'12.1.Разходи-увелич.и нам.'!V76)</f>
        <v>0</v>
      </c>
      <c r="O76" s="2423">
        <f>$J76+('12.1.Разходи-увелич.и нам.'!W76+'12.1.Разходи-увелич.и нам.'!X76)</f>
        <v>0</v>
      </c>
      <c r="P76" s="2424">
        <f>$J76+('12.1.Разходи-увелич.и нам.'!Y76+'12.1.Разходи-увелич.и нам.'!Z76)</f>
        <v>0</v>
      </c>
      <c r="Q76" s="2425">
        <f>'12.1.Разходи-увелич.и нам.'!AA76</f>
        <v>0</v>
      </c>
      <c r="R76" s="2426">
        <f>'12.1.Разходи-увелич.и нам.'!AB76</f>
        <v>0</v>
      </c>
      <c r="S76" s="2423">
        <f>$Q76+('12.1.Разходи-увелич.и нам.'!AC76+'12.1.Разходи-увелич.и нам.'!AD76)</f>
        <v>0</v>
      </c>
      <c r="T76" s="2423">
        <f>$Q76+('12.1.Разходи-увелич.и нам.'!AE76+'12.1.Разходи-увелич.и нам.'!AF76)</f>
        <v>0</v>
      </c>
      <c r="U76" s="2423">
        <f>$Q76+('12.1.Разходи-увелич.и нам.'!AG76+'12.1.Разходи-увелич.и нам.'!AH76)</f>
        <v>0</v>
      </c>
      <c r="V76" s="2423">
        <f>$Q76+('12.1.Разходи-увелич.и нам.'!AI76+'12.1.Разходи-увелич.и нам.'!AJ76)</f>
        <v>0</v>
      </c>
      <c r="W76" s="2424">
        <f>$Q76+('12.1.Разходи-увелич.и нам.'!AK76+'12.1.Разходи-увелич.и нам.'!AL76)</f>
        <v>0</v>
      </c>
      <c r="X76" s="2246">
        <v>0</v>
      </c>
      <c r="Y76" s="2246">
        <v>0</v>
      </c>
      <c r="Z76" s="795">
        <v>0</v>
      </c>
      <c r="AA76" s="782">
        <v>0</v>
      </c>
      <c r="AB76" s="782">
        <v>0</v>
      </c>
      <c r="AC76" s="782">
        <v>0</v>
      </c>
      <c r="AD76" s="791">
        <v>0</v>
      </c>
    </row>
    <row r="77" spans="1:39">
      <c r="A77" s="487" t="s">
        <v>634</v>
      </c>
      <c r="B77" s="1038" t="s">
        <v>340</v>
      </c>
      <c r="C77" s="2425">
        <f>'12.1.Разходи-увелич.и нам.'!C77</f>
        <v>20</v>
      </c>
      <c r="D77" s="2427">
        <f>'12.1.Разходи-увелич.и нам.'!D77</f>
        <v>19</v>
      </c>
      <c r="E77" s="2428">
        <f>$C77+('12.1.Разходи-увелич.и нам.'!E77+'12.1.Разходи-увелич.и нам.'!F77)</f>
        <v>20</v>
      </c>
      <c r="F77" s="2428">
        <f>$C77+('12.1.Разходи-увелич.и нам.'!G77+'12.1.Разходи-увелич.и нам.'!H77)</f>
        <v>20</v>
      </c>
      <c r="G77" s="2428">
        <f>$C77+('12.1.Разходи-увелич.и нам.'!I77+'12.1.Разходи-увелич.и нам.'!J77)</f>
        <v>20</v>
      </c>
      <c r="H77" s="2428">
        <f>$C77+('12.1.Разходи-увелич.и нам.'!K77+'12.1.Разходи-увелич.и нам.'!L77)</f>
        <v>20</v>
      </c>
      <c r="I77" s="1497">
        <f>$C77+('12.1.Разходи-увелич.и нам.'!M77+'12.1.Разходи-увелич.и нам.'!N77)</f>
        <v>20</v>
      </c>
      <c r="J77" s="2425">
        <f>'12.1.Разходи-увелич.и нам.'!O77</f>
        <v>2</v>
      </c>
      <c r="K77" s="2422">
        <f>'12.1.Разходи-увелич.и нам.'!P77</f>
        <v>2</v>
      </c>
      <c r="L77" s="2423">
        <f>$J77+('12.1.Разходи-увелич.и нам.'!Q77+'12.1.Разходи-увелич.и нам.'!R77)</f>
        <v>2</v>
      </c>
      <c r="M77" s="2423">
        <f>$J77+('12.1.Разходи-увелич.и нам.'!S77+'12.1.Разходи-увелич.и нам.'!T77)</f>
        <v>2</v>
      </c>
      <c r="N77" s="2423">
        <f>$J77+('12.1.Разходи-увелич.и нам.'!U77+'12.1.Разходи-увелич.и нам.'!V77)</f>
        <v>2</v>
      </c>
      <c r="O77" s="2423">
        <f>$J77+('12.1.Разходи-увелич.и нам.'!W77+'12.1.Разходи-увелич.и нам.'!X77)</f>
        <v>2</v>
      </c>
      <c r="P77" s="2424">
        <f>$J77+('12.1.Разходи-увелич.и нам.'!Y77+'12.1.Разходи-увелич.и нам.'!Z77)</f>
        <v>2</v>
      </c>
      <c r="Q77" s="2425">
        <f>'12.1.Разходи-увелич.и нам.'!AA77</f>
        <v>2</v>
      </c>
      <c r="R77" s="2426">
        <f>'12.1.Разходи-увелич.и нам.'!AB77</f>
        <v>2</v>
      </c>
      <c r="S77" s="2423">
        <f>$Q77+('12.1.Разходи-увелич.и нам.'!AC77+'12.1.Разходи-увелич.и нам.'!AD77)</f>
        <v>2</v>
      </c>
      <c r="T77" s="2423">
        <f>$Q77+('12.1.Разходи-увелич.и нам.'!AE77+'12.1.Разходи-увелич.и нам.'!AF77)</f>
        <v>2</v>
      </c>
      <c r="U77" s="2423">
        <f>$Q77+('12.1.Разходи-увелич.и нам.'!AG77+'12.1.Разходи-увелич.и нам.'!AH77)</f>
        <v>2</v>
      </c>
      <c r="V77" s="2423">
        <f>$Q77+('12.1.Разходи-увелич.и нам.'!AI77+'12.1.Разходи-увелич.и нам.'!AJ77)</f>
        <v>2</v>
      </c>
      <c r="W77" s="2424">
        <f>$Q77+('12.1.Разходи-увелич.и нам.'!AK77+'12.1.Разходи-увелич.и нам.'!AL77)</f>
        <v>2</v>
      </c>
      <c r="X77" s="2246">
        <v>1</v>
      </c>
      <c r="Y77" s="2246">
        <v>1</v>
      </c>
      <c r="Z77" s="795">
        <v>1</v>
      </c>
      <c r="AA77" s="782">
        <v>1</v>
      </c>
      <c r="AB77" s="782">
        <v>1</v>
      </c>
      <c r="AC77" s="782">
        <v>1</v>
      </c>
      <c r="AD77" s="791">
        <v>1</v>
      </c>
    </row>
    <row r="78" spans="1:39">
      <c r="A78" s="487" t="s">
        <v>635</v>
      </c>
      <c r="B78" s="2044" t="s">
        <v>325</v>
      </c>
      <c r="C78" s="2425">
        <f>'12.1.Разходи-увелич.и нам.'!C78</f>
        <v>117</v>
      </c>
      <c r="D78" s="2427">
        <f>'12.1.Разходи-увелич.и нам.'!D78</f>
        <v>100</v>
      </c>
      <c r="E78" s="2428">
        <f>$C78+('12.1.Разходи-увелич.и нам.'!E78+'12.1.Разходи-увелич.и нам.'!F78)</f>
        <v>117</v>
      </c>
      <c r="F78" s="2428">
        <f>$C78+('12.1.Разходи-увелич.и нам.'!G78+'12.1.Разходи-увелич.и нам.'!H78)</f>
        <v>117</v>
      </c>
      <c r="G78" s="2428">
        <f>$C78+('12.1.Разходи-увелич.и нам.'!I78+'12.1.Разходи-увелич.и нам.'!J78)</f>
        <v>117</v>
      </c>
      <c r="H78" s="2428">
        <f>$C78+('12.1.Разходи-увелич.и нам.'!K78+'12.1.Разходи-увелич.и нам.'!L78)</f>
        <v>117</v>
      </c>
      <c r="I78" s="1497">
        <f>$C78+('12.1.Разходи-увелич.и нам.'!M78+'12.1.Разходи-увелич.и нам.'!N78)</f>
        <v>117</v>
      </c>
      <c r="J78" s="2425">
        <f>'12.1.Разходи-увелич.и нам.'!O78</f>
        <v>4</v>
      </c>
      <c r="K78" s="2422">
        <f>'12.1.Разходи-увелич.и нам.'!P78</f>
        <v>4</v>
      </c>
      <c r="L78" s="2423">
        <f>$J78+('12.1.Разходи-увелич.и нам.'!Q78+'12.1.Разходи-увелич.и нам.'!R78)</f>
        <v>4</v>
      </c>
      <c r="M78" s="2423">
        <f>$J78+('12.1.Разходи-увелич.и нам.'!S78+'12.1.Разходи-увелич.и нам.'!T78)</f>
        <v>4</v>
      </c>
      <c r="N78" s="2423">
        <f>$J78+('12.1.Разходи-увелич.и нам.'!U78+'12.1.Разходи-увелич.и нам.'!V78)</f>
        <v>4</v>
      </c>
      <c r="O78" s="2423">
        <f>$J78+('12.1.Разходи-увелич.и нам.'!W78+'12.1.Разходи-увелич.и нам.'!X78)</f>
        <v>4</v>
      </c>
      <c r="P78" s="2424">
        <f>$J78+('12.1.Разходи-увелич.и нам.'!Y78+'12.1.Разходи-увелич.и нам.'!Z78)</f>
        <v>4</v>
      </c>
      <c r="Q78" s="2425">
        <f>'12.1.Разходи-увелич.и нам.'!AA78</f>
        <v>4</v>
      </c>
      <c r="R78" s="2426">
        <f>'12.1.Разходи-увелич.и нам.'!AB78</f>
        <v>5</v>
      </c>
      <c r="S78" s="2423">
        <f>$Q78+('12.1.Разходи-увелич.и нам.'!AC78+'12.1.Разходи-увелич.и нам.'!AD78)</f>
        <v>4</v>
      </c>
      <c r="T78" s="2423">
        <f>$Q78+('12.1.Разходи-увелич.и нам.'!AE78+'12.1.Разходи-увелич.и нам.'!AF78)</f>
        <v>4</v>
      </c>
      <c r="U78" s="2423">
        <f>$Q78+('12.1.Разходи-увелич.и нам.'!AG78+'12.1.Разходи-увелич.и нам.'!AH78)</f>
        <v>4</v>
      </c>
      <c r="V78" s="2423">
        <f>$Q78+('12.1.Разходи-увелич.и нам.'!AI78+'12.1.Разходи-увелич.и нам.'!AJ78)</f>
        <v>4</v>
      </c>
      <c r="W78" s="2424">
        <f>$Q78+('12.1.Разходи-увелич.и нам.'!AK78+'12.1.Разходи-увелич.и нам.'!AL78)</f>
        <v>4</v>
      </c>
      <c r="X78" s="2246">
        <v>0</v>
      </c>
      <c r="Y78" s="2246">
        <v>0</v>
      </c>
      <c r="Z78" s="795">
        <v>0</v>
      </c>
      <c r="AA78" s="782">
        <v>0</v>
      </c>
      <c r="AB78" s="782">
        <v>0</v>
      </c>
      <c r="AC78" s="782">
        <v>0</v>
      </c>
      <c r="AD78" s="791">
        <v>0</v>
      </c>
    </row>
    <row r="79" spans="1:39">
      <c r="A79" s="487" t="s">
        <v>636</v>
      </c>
      <c r="B79" s="1500" t="s">
        <v>302</v>
      </c>
      <c r="C79" s="1088">
        <f>SUM(C80:C83)</f>
        <v>28</v>
      </c>
      <c r="D79" s="1082">
        <f t="shared" ref="D79:AD79" si="21">SUM(D80:D83)</f>
        <v>39</v>
      </c>
      <c r="E79" s="1083">
        <f t="shared" si="21"/>
        <v>28</v>
      </c>
      <c r="F79" s="1084">
        <f t="shared" si="21"/>
        <v>28</v>
      </c>
      <c r="G79" s="1084">
        <f t="shared" si="21"/>
        <v>28</v>
      </c>
      <c r="H79" s="1084">
        <f t="shared" si="21"/>
        <v>28</v>
      </c>
      <c r="I79" s="1085">
        <f t="shared" si="21"/>
        <v>28</v>
      </c>
      <c r="J79" s="1088">
        <f t="shared" si="21"/>
        <v>4</v>
      </c>
      <c r="K79" s="1082">
        <f t="shared" si="21"/>
        <v>4</v>
      </c>
      <c r="L79" s="1083">
        <f t="shared" si="21"/>
        <v>4</v>
      </c>
      <c r="M79" s="1084">
        <f t="shared" si="21"/>
        <v>4</v>
      </c>
      <c r="N79" s="1084">
        <f t="shared" si="21"/>
        <v>4</v>
      </c>
      <c r="O79" s="1084">
        <f t="shared" si="21"/>
        <v>4</v>
      </c>
      <c r="P79" s="1085">
        <f t="shared" si="21"/>
        <v>4</v>
      </c>
      <c r="Q79" s="1088">
        <f t="shared" si="21"/>
        <v>2</v>
      </c>
      <c r="R79" s="1082">
        <f t="shared" si="21"/>
        <v>11</v>
      </c>
      <c r="S79" s="1083">
        <f t="shared" si="21"/>
        <v>2</v>
      </c>
      <c r="T79" s="1084">
        <f t="shared" si="21"/>
        <v>2</v>
      </c>
      <c r="U79" s="1084">
        <f t="shared" si="21"/>
        <v>2</v>
      </c>
      <c r="V79" s="1084">
        <f t="shared" si="21"/>
        <v>2</v>
      </c>
      <c r="W79" s="1085">
        <f t="shared" si="21"/>
        <v>2</v>
      </c>
      <c r="X79" s="1082">
        <f t="shared" si="21"/>
        <v>201</v>
      </c>
      <c r="Y79" s="1082">
        <f t="shared" si="21"/>
        <v>27</v>
      </c>
      <c r="Z79" s="1083">
        <f t="shared" si="21"/>
        <v>25</v>
      </c>
      <c r="AA79" s="1084">
        <f t="shared" si="21"/>
        <v>25</v>
      </c>
      <c r="AB79" s="1084">
        <f t="shared" si="21"/>
        <v>25</v>
      </c>
      <c r="AC79" s="1084">
        <f t="shared" si="21"/>
        <v>25</v>
      </c>
      <c r="AD79" s="1085">
        <f t="shared" si="21"/>
        <v>25</v>
      </c>
    </row>
    <row r="80" spans="1:39" s="360" customFormat="1">
      <c r="A80" s="488" t="s">
        <v>850</v>
      </c>
      <c r="B80" s="782" t="s">
        <v>1563</v>
      </c>
      <c r="C80" s="2425">
        <f>'12.1.Разходи-увелич.и нам.'!C80</f>
        <v>21</v>
      </c>
      <c r="D80" s="2427">
        <f>'12.1.Разходи-увелич.и нам.'!D80</f>
        <v>21</v>
      </c>
      <c r="E80" s="2428">
        <f>$C80+('12.1.Разходи-увелич.и нам.'!E80+'12.1.Разходи-увелич.и нам.'!F80)</f>
        <v>21</v>
      </c>
      <c r="F80" s="2428">
        <f>$C80+('12.1.Разходи-увелич.и нам.'!G80+'12.1.Разходи-увелич.и нам.'!H80)</f>
        <v>21</v>
      </c>
      <c r="G80" s="2428">
        <f>$C80+('12.1.Разходи-увелич.и нам.'!I80+'12.1.Разходи-увелич.и нам.'!J80)</f>
        <v>21</v>
      </c>
      <c r="H80" s="2428">
        <f>$C80+('12.1.Разходи-увелич.и нам.'!K80+'12.1.Разходи-увелич.и нам.'!L80)</f>
        <v>21</v>
      </c>
      <c r="I80" s="1497">
        <f>$C80+('12.1.Разходи-увелич.и нам.'!M80+'12.1.Разходи-увелич.и нам.'!N80)</f>
        <v>21</v>
      </c>
      <c r="J80" s="2425">
        <f>'12.1.Разходи-увелич.и нам.'!O80</f>
        <v>1</v>
      </c>
      <c r="K80" s="2422">
        <f>'12.1.Разходи-увелич.и нам.'!P80</f>
        <v>1</v>
      </c>
      <c r="L80" s="2423">
        <f>$J80+('12.1.Разходи-увелич.и нам.'!Q80+'12.1.Разходи-увелич.и нам.'!R80)</f>
        <v>1</v>
      </c>
      <c r="M80" s="2423">
        <f>$J80+('12.1.Разходи-увелич.и нам.'!S80+'12.1.Разходи-увелич.и нам.'!T80)</f>
        <v>1</v>
      </c>
      <c r="N80" s="2423">
        <f>$J80+('12.1.Разходи-увелич.и нам.'!U80+'12.1.Разходи-увелич.и нам.'!V80)</f>
        <v>1</v>
      </c>
      <c r="O80" s="2423">
        <f>$J80+('12.1.Разходи-увелич.и нам.'!W80+'12.1.Разходи-увелич.и нам.'!X80)</f>
        <v>1</v>
      </c>
      <c r="P80" s="2424">
        <f>$J80+('12.1.Разходи-увелич.и нам.'!Y80+'12.1.Разходи-увелич.и нам.'!Z80)</f>
        <v>1</v>
      </c>
      <c r="Q80" s="2425">
        <f>'12.1.Разходи-увелич.и нам.'!AA80</f>
        <v>0</v>
      </c>
      <c r="R80" s="2426">
        <f>'12.1.Разходи-увелич.и нам.'!AB80</f>
        <v>0</v>
      </c>
      <c r="S80" s="2423">
        <f>$Q80+('12.1.Разходи-увелич.и нам.'!AC80+'12.1.Разходи-увелич.и нам.'!AD80)</f>
        <v>0</v>
      </c>
      <c r="T80" s="2423">
        <f>$Q80+('12.1.Разходи-увелич.и нам.'!AE80+'12.1.Разходи-увелич.и нам.'!AF80)</f>
        <v>0</v>
      </c>
      <c r="U80" s="2423">
        <f>$Q80+('12.1.Разходи-увелич.и нам.'!AG80+'12.1.Разходи-увелич.и нам.'!AH80)</f>
        <v>0</v>
      </c>
      <c r="V80" s="2423">
        <f>$Q80+('12.1.Разходи-увелич.и нам.'!AI80+'12.1.Разходи-увелич.и нам.'!AJ80)</f>
        <v>0</v>
      </c>
      <c r="W80" s="2424">
        <f>$Q80+('12.1.Разходи-увелич.и нам.'!AK80+'12.1.Разходи-увелич.и нам.'!AL80)</f>
        <v>0</v>
      </c>
      <c r="X80" s="2246">
        <v>1</v>
      </c>
      <c r="Y80" s="2246">
        <v>2</v>
      </c>
      <c r="Z80" s="795">
        <v>1</v>
      </c>
      <c r="AA80" s="782">
        <v>1</v>
      </c>
      <c r="AB80" s="782">
        <v>1</v>
      </c>
      <c r="AC80" s="782">
        <v>1</v>
      </c>
      <c r="AD80" s="791">
        <v>1</v>
      </c>
      <c r="AE80" s="358"/>
      <c r="AF80" s="358"/>
      <c r="AG80" s="358"/>
      <c r="AH80" s="358"/>
      <c r="AI80" s="358"/>
      <c r="AJ80" s="358"/>
      <c r="AK80" s="358"/>
      <c r="AL80" s="358"/>
      <c r="AM80" s="358"/>
    </row>
    <row r="81" spans="1:39" s="360" customFormat="1">
      <c r="A81" s="488" t="s">
        <v>851</v>
      </c>
      <c r="B81" s="782" t="s">
        <v>1567</v>
      </c>
      <c r="C81" s="2425">
        <f>'12.1.Разходи-увелич.и нам.'!C81</f>
        <v>5</v>
      </c>
      <c r="D81" s="2427">
        <f>'12.1.Разходи-увелич.и нам.'!D81</f>
        <v>6</v>
      </c>
      <c r="E81" s="2428">
        <f>$C81+('12.1.Разходи-увелич.и нам.'!E81+'12.1.Разходи-увелич.и нам.'!F81)</f>
        <v>5</v>
      </c>
      <c r="F81" s="2428">
        <f>$C81+('12.1.Разходи-увелич.и нам.'!G81+'12.1.Разходи-увелич.и нам.'!H81)</f>
        <v>5</v>
      </c>
      <c r="G81" s="2428">
        <f>$C81+('12.1.Разходи-увелич.и нам.'!I81+'12.1.Разходи-увелич.и нам.'!J81)</f>
        <v>5</v>
      </c>
      <c r="H81" s="2428">
        <f>$C81+('12.1.Разходи-увелич.и нам.'!K81+'12.1.Разходи-увелич.и нам.'!L81)</f>
        <v>5</v>
      </c>
      <c r="I81" s="1497">
        <f>$C81+('12.1.Разходи-увелич.и нам.'!M81+'12.1.Разходи-увелич.и нам.'!N81)</f>
        <v>5</v>
      </c>
      <c r="J81" s="2425">
        <f>'12.1.Разходи-увелич.и нам.'!O81</f>
        <v>0</v>
      </c>
      <c r="K81" s="2422">
        <f>'12.1.Разходи-увелич.и нам.'!P81</f>
        <v>0</v>
      </c>
      <c r="L81" s="2423">
        <f>$J81+('12.1.Разходи-увелич.и нам.'!Q81+'12.1.Разходи-увелич.и нам.'!R81)</f>
        <v>0</v>
      </c>
      <c r="M81" s="2423">
        <f>$J81+('12.1.Разходи-увелич.и нам.'!S81+'12.1.Разходи-увелич.и нам.'!T81)</f>
        <v>0</v>
      </c>
      <c r="N81" s="2423">
        <f>$J81+('12.1.Разходи-увелич.и нам.'!U81+'12.1.Разходи-увелич.и нам.'!V81)</f>
        <v>0</v>
      </c>
      <c r="O81" s="2423">
        <f>$J81+('12.1.Разходи-увелич.и нам.'!W81+'12.1.Разходи-увелич.и нам.'!X81)</f>
        <v>0</v>
      </c>
      <c r="P81" s="2424">
        <f>$J81+('12.1.Разходи-увелич.и нам.'!Y81+'12.1.Разходи-увелич.и нам.'!Z81)</f>
        <v>0</v>
      </c>
      <c r="Q81" s="2425">
        <f>'12.1.Разходи-увелич.и нам.'!AA81</f>
        <v>0</v>
      </c>
      <c r="R81" s="2426">
        <f>'12.1.Разходи-увелич.и нам.'!AB81</f>
        <v>0</v>
      </c>
      <c r="S81" s="2423">
        <f>$Q81+('12.1.Разходи-увелич.и нам.'!AC81+'12.1.Разходи-увелич.и нам.'!AD81)</f>
        <v>0</v>
      </c>
      <c r="T81" s="2423">
        <f>$Q81+('12.1.Разходи-увелич.и нам.'!AE81+'12.1.Разходи-увелич.и нам.'!AF81)</f>
        <v>0</v>
      </c>
      <c r="U81" s="2423">
        <f>$Q81+('12.1.Разходи-увелич.и нам.'!AG81+'12.1.Разходи-увелич.и нам.'!AH81)</f>
        <v>0</v>
      </c>
      <c r="V81" s="2423">
        <f>$Q81+('12.1.Разходи-увелич.и нам.'!AI81+'12.1.Разходи-увелич.и нам.'!AJ81)</f>
        <v>0</v>
      </c>
      <c r="W81" s="2424">
        <f>$Q81+('12.1.Разходи-увелич.и нам.'!AK81+'12.1.Разходи-увелич.и нам.'!AL81)</f>
        <v>0</v>
      </c>
      <c r="X81" s="2246">
        <v>1</v>
      </c>
      <c r="Y81" s="2246">
        <v>2</v>
      </c>
      <c r="Z81" s="795">
        <v>1</v>
      </c>
      <c r="AA81" s="782">
        <v>1</v>
      </c>
      <c r="AB81" s="782">
        <v>1</v>
      </c>
      <c r="AC81" s="782">
        <v>1</v>
      </c>
      <c r="AD81" s="791">
        <v>1</v>
      </c>
      <c r="AE81" s="358"/>
      <c r="AF81" s="358"/>
      <c r="AG81" s="358"/>
      <c r="AH81" s="358"/>
      <c r="AI81" s="358"/>
      <c r="AJ81" s="358"/>
      <c r="AK81" s="358"/>
      <c r="AL81" s="358"/>
      <c r="AM81" s="358"/>
    </row>
    <row r="82" spans="1:39" s="360" customFormat="1">
      <c r="A82" s="488" t="s">
        <v>852</v>
      </c>
      <c r="B82" s="782" t="s">
        <v>1568</v>
      </c>
      <c r="C82" s="2425">
        <f>'12.1.Разходи-увелич.и нам.'!C82</f>
        <v>2</v>
      </c>
      <c r="D82" s="2427">
        <f>'12.1.Разходи-увелич.и нам.'!D82</f>
        <v>4</v>
      </c>
      <c r="E82" s="2428">
        <f>$C82+('12.1.Разходи-увелич.и нам.'!E82+'12.1.Разходи-увелич.и нам.'!F82)</f>
        <v>2</v>
      </c>
      <c r="F82" s="2428">
        <f>$C82+('12.1.Разходи-увелич.и нам.'!G82+'12.1.Разходи-увелич.и нам.'!H82)</f>
        <v>2</v>
      </c>
      <c r="G82" s="2428">
        <f>$C82+('12.1.Разходи-увелич.и нам.'!I82+'12.1.Разходи-увелич.и нам.'!J82)</f>
        <v>2</v>
      </c>
      <c r="H82" s="2428">
        <f>$C82+('12.1.Разходи-увелич.и нам.'!K82+'12.1.Разходи-увелич.и нам.'!L82)</f>
        <v>2</v>
      </c>
      <c r="I82" s="1497">
        <f>$C82+('12.1.Разходи-увелич.и нам.'!M82+'12.1.Разходи-увелич.и нам.'!N82)</f>
        <v>2</v>
      </c>
      <c r="J82" s="2425">
        <f>'12.1.Разходи-увелич.и нам.'!O82</f>
        <v>3</v>
      </c>
      <c r="K82" s="2422">
        <f>'12.1.Разходи-увелич.и нам.'!P82</f>
        <v>3</v>
      </c>
      <c r="L82" s="2423">
        <f>$J82+('12.1.Разходи-увелич.и нам.'!Q82+'12.1.Разходи-увелич.и нам.'!R82)</f>
        <v>3</v>
      </c>
      <c r="M82" s="2423">
        <f>$J82+('12.1.Разходи-увелич.и нам.'!S82+'12.1.Разходи-увелич.и нам.'!T82)</f>
        <v>3</v>
      </c>
      <c r="N82" s="2423">
        <f>$J82+('12.1.Разходи-увелич.и нам.'!U82+'12.1.Разходи-увелич.и нам.'!V82)</f>
        <v>3</v>
      </c>
      <c r="O82" s="2423">
        <f>$J82+('12.1.Разходи-увелич.и нам.'!W82+'12.1.Разходи-увелич.и нам.'!X82)</f>
        <v>3</v>
      </c>
      <c r="P82" s="2424">
        <f>$J82+('12.1.Разходи-увелич.и нам.'!Y82+'12.1.Разходи-увелич.и нам.'!Z82)</f>
        <v>3</v>
      </c>
      <c r="Q82" s="2425">
        <f>'12.1.Разходи-увелич.и нам.'!AA82</f>
        <v>2</v>
      </c>
      <c r="R82" s="2426">
        <f>'12.1.Разходи-увелич.и нам.'!AB82</f>
        <v>11</v>
      </c>
      <c r="S82" s="2423">
        <f>$Q82+('12.1.Разходи-увелич.и нам.'!AC82+'12.1.Разходи-увелич.и нам.'!AD82)</f>
        <v>2</v>
      </c>
      <c r="T82" s="2423">
        <f>$Q82+('12.1.Разходи-увелич.и нам.'!AE82+'12.1.Разходи-увелич.и нам.'!AF82)</f>
        <v>2</v>
      </c>
      <c r="U82" s="2423">
        <f>$Q82+('12.1.Разходи-увелич.и нам.'!AG82+'12.1.Разходи-увелич.и нам.'!AH82)</f>
        <v>2</v>
      </c>
      <c r="V82" s="2423">
        <f>$Q82+('12.1.Разходи-увелич.и нам.'!AI82+'12.1.Разходи-увелич.и нам.'!AJ82)</f>
        <v>2</v>
      </c>
      <c r="W82" s="2424">
        <f>$Q82+('12.1.Разходи-увелич.и нам.'!AK82+'12.1.Разходи-увелич.и нам.'!AL82)</f>
        <v>2</v>
      </c>
      <c r="X82" s="2246">
        <v>16</v>
      </c>
      <c r="Y82" s="2246">
        <v>16</v>
      </c>
      <c r="Z82" s="795">
        <v>16</v>
      </c>
      <c r="AA82" s="782">
        <v>16</v>
      </c>
      <c r="AB82" s="782">
        <v>16</v>
      </c>
      <c r="AC82" s="782">
        <v>16</v>
      </c>
      <c r="AD82" s="791">
        <v>16</v>
      </c>
      <c r="AE82" s="358"/>
      <c r="AF82" s="358"/>
      <c r="AG82" s="358"/>
      <c r="AH82" s="358"/>
      <c r="AI82" s="358"/>
      <c r="AJ82" s="358"/>
      <c r="AK82" s="358"/>
      <c r="AL82" s="358"/>
      <c r="AM82" s="358"/>
    </row>
    <row r="83" spans="1:39" s="360" customFormat="1" ht="15.75" thickBot="1">
      <c r="A83" s="489" t="s">
        <v>853</v>
      </c>
      <c r="B83" s="782" t="s">
        <v>1570</v>
      </c>
      <c r="C83" s="2425">
        <f>'12.1.Разходи-увелич.и нам.'!C83</f>
        <v>0</v>
      </c>
      <c r="D83" s="2427">
        <f>'12.1.Разходи-увелич.и нам.'!D83</f>
        <v>8</v>
      </c>
      <c r="E83" s="2428">
        <f>$C83+('12.1.Разходи-увелич.и нам.'!E83+'12.1.Разходи-увелич.и нам.'!F83)</f>
        <v>0</v>
      </c>
      <c r="F83" s="2428">
        <f>$C83+('12.1.Разходи-увелич.и нам.'!G83+'12.1.Разходи-увелич.и нам.'!H83)</f>
        <v>0</v>
      </c>
      <c r="G83" s="2428">
        <f>$C83+('12.1.Разходи-увелич.и нам.'!I83+'12.1.Разходи-увелич.и нам.'!J83)</f>
        <v>0</v>
      </c>
      <c r="H83" s="2428">
        <f>$C83+('12.1.Разходи-увелич.и нам.'!K83+'12.1.Разходи-увелич.и нам.'!L83)</f>
        <v>0</v>
      </c>
      <c r="I83" s="1497">
        <f>$C83+('12.1.Разходи-увелич.и нам.'!M83+'12.1.Разходи-увелич.и нам.'!N83)</f>
        <v>0</v>
      </c>
      <c r="J83" s="2425">
        <f>'12.1.Разходи-увелич.и нам.'!O83</f>
        <v>0</v>
      </c>
      <c r="K83" s="2422">
        <f>'12.1.Разходи-увелич.и нам.'!P83</f>
        <v>0</v>
      </c>
      <c r="L83" s="2423">
        <f>$J83+('12.1.Разходи-увелич.и нам.'!Q83+'12.1.Разходи-увелич.и нам.'!R83)</f>
        <v>0</v>
      </c>
      <c r="M83" s="2423">
        <f>$J83+('12.1.Разходи-увелич.и нам.'!S83+'12.1.Разходи-увелич.и нам.'!T83)</f>
        <v>0</v>
      </c>
      <c r="N83" s="2423">
        <f>$J83+('12.1.Разходи-увелич.и нам.'!U83+'12.1.Разходи-увелич.и нам.'!V83)</f>
        <v>0</v>
      </c>
      <c r="O83" s="2423">
        <f>$J83+('12.1.Разходи-увелич.и нам.'!W83+'12.1.Разходи-увелич.и нам.'!X83)</f>
        <v>0</v>
      </c>
      <c r="P83" s="2424">
        <f>$J83+('12.1.Разходи-увелич.и нам.'!Y83+'12.1.Разходи-увелич.и нам.'!Z83)</f>
        <v>0</v>
      </c>
      <c r="Q83" s="2425">
        <f>'12.1.Разходи-увелич.и нам.'!AA83</f>
        <v>0</v>
      </c>
      <c r="R83" s="2426">
        <f>'12.1.Разходи-увелич.и нам.'!AB83</f>
        <v>0</v>
      </c>
      <c r="S83" s="2423">
        <f>$Q83+('12.1.Разходи-увелич.и нам.'!AC83+'12.1.Разходи-увелич.и нам.'!AD83)</f>
        <v>0</v>
      </c>
      <c r="T83" s="2423">
        <f>$Q83+('12.1.Разходи-увелич.и нам.'!AE83+'12.1.Разходи-увелич.и нам.'!AF83)</f>
        <v>0</v>
      </c>
      <c r="U83" s="2423">
        <f>$Q83+('12.1.Разходи-увелич.и нам.'!AG83+'12.1.Разходи-увелич.и нам.'!AH83)</f>
        <v>0</v>
      </c>
      <c r="V83" s="2423">
        <f>$Q83+('12.1.Разходи-увелич.и нам.'!AI83+'12.1.Разходи-увелич.и нам.'!AJ83)</f>
        <v>0</v>
      </c>
      <c r="W83" s="2424">
        <f>$Q83+('12.1.Разходи-увелич.и нам.'!AK83+'12.1.Разходи-увелич.и нам.'!AL83)</f>
        <v>0</v>
      </c>
      <c r="X83" s="2247">
        <v>183</v>
      </c>
      <c r="Y83" s="2247">
        <v>7</v>
      </c>
      <c r="Z83" s="2248">
        <v>7</v>
      </c>
      <c r="AA83" s="2249">
        <v>7</v>
      </c>
      <c r="AB83" s="2249">
        <v>7</v>
      </c>
      <c r="AC83" s="2249">
        <v>7</v>
      </c>
      <c r="AD83" s="2242">
        <v>7</v>
      </c>
      <c r="AE83" s="358"/>
      <c r="AF83" s="358"/>
      <c r="AG83" s="358"/>
      <c r="AH83" s="358"/>
      <c r="AI83" s="358"/>
      <c r="AJ83" s="358"/>
      <c r="AK83" s="358"/>
      <c r="AL83" s="358"/>
      <c r="AM83" s="358"/>
    </row>
    <row r="84" spans="1:39" ht="15.75" thickBot="1">
      <c r="A84" s="3526" t="s">
        <v>342</v>
      </c>
      <c r="B84" s="3527"/>
      <c r="C84" s="2066">
        <f t="shared" ref="C84:AD84" si="22">C11+C28+C53+C57+C61+C66+C72</f>
        <v>11108</v>
      </c>
      <c r="D84" s="1047">
        <f t="shared" si="22"/>
        <v>11999.532518635322</v>
      </c>
      <c r="E84" s="1071">
        <f t="shared" si="22"/>
        <v>13678.099121150677</v>
      </c>
      <c r="F84" s="1072">
        <f t="shared" si="22"/>
        <v>13872.025582808863</v>
      </c>
      <c r="G84" s="1072">
        <f t="shared" si="22"/>
        <v>13859.315312111041</v>
      </c>
      <c r="H84" s="1074">
        <f t="shared" si="22"/>
        <v>13783.459376490868</v>
      </c>
      <c r="I84" s="1073">
        <f t="shared" si="22"/>
        <v>14408.127778429551</v>
      </c>
      <c r="J84" s="2066">
        <f t="shared" si="22"/>
        <v>669</v>
      </c>
      <c r="K84" s="1047">
        <f t="shared" si="22"/>
        <v>747.05164134174311</v>
      </c>
      <c r="L84" s="1091">
        <f t="shared" si="22"/>
        <v>807.51350969458872</v>
      </c>
      <c r="M84" s="1072">
        <f t="shared" si="22"/>
        <v>891.86580610397448</v>
      </c>
      <c r="N84" s="1072">
        <f t="shared" si="22"/>
        <v>967.01868404179083</v>
      </c>
      <c r="O84" s="1072">
        <f t="shared" si="22"/>
        <v>960.72670868664352</v>
      </c>
      <c r="P84" s="1244">
        <f t="shared" si="22"/>
        <v>979.70122468266766</v>
      </c>
      <c r="Q84" s="2066">
        <f t="shared" si="22"/>
        <v>820</v>
      </c>
      <c r="R84" s="1047">
        <f t="shared" si="22"/>
        <v>1104.9608400229358</v>
      </c>
      <c r="S84" s="1071">
        <f t="shared" si="22"/>
        <v>1286.5073691547332</v>
      </c>
      <c r="T84" s="1072">
        <f t="shared" si="22"/>
        <v>1429.7986110871627</v>
      </c>
      <c r="U84" s="1072">
        <f t="shared" si="22"/>
        <v>1519.9060038471694</v>
      </c>
      <c r="V84" s="1072">
        <f t="shared" si="22"/>
        <v>1609.6239148224888</v>
      </c>
      <c r="W84" s="1244">
        <f t="shared" si="22"/>
        <v>1617.3609968877809</v>
      </c>
      <c r="X84" s="1047">
        <f t="shared" si="22"/>
        <v>1907.0699999999997</v>
      </c>
      <c r="Y84" s="1047">
        <f t="shared" si="22"/>
        <v>1853</v>
      </c>
      <c r="Z84" s="1071">
        <f t="shared" si="22"/>
        <v>1827.63</v>
      </c>
      <c r="AA84" s="1072">
        <f t="shared" si="22"/>
        <v>1844.63</v>
      </c>
      <c r="AB84" s="1072">
        <f t="shared" si="22"/>
        <v>1858.63</v>
      </c>
      <c r="AC84" s="1074">
        <f t="shared" si="22"/>
        <v>1867.63</v>
      </c>
      <c r="AD84" s="1073">
        <f t="shared" si="22"/>
        <v>1879.63</v>
      </c>
    </row>
    <row r="85" spans="1:39" ht="15.75" thickBot="1">
      <c r="A85" s="3526" t="s">
        <v>637</v>
      </c>
      <c r="B85" s="3527"/>
      <c r="C85" s="2068"/>
      <c r="D85" s="1092"/>
      <c r="E85" s="2072">
        <f>'12.1.Разходи-увелич.и нам.'!E84+'12.1.Разходи-увелич.и нам.'!F84</f>
        <v>2242</v>
      </c>
      <c r="F85" s="1093">
        <f>'12.1.Разходи-увелич.и нам.'!G84+'12.1.Разходи-увелич.и нам.'!H84</f>
        <v>2442</v>
      </c>
      <c r="G85" s="1093">
        <f>'12.1.Разходи-увелич.и нам.'!I84+'12.1.Разходи-увелич.и нам.'!J84</f>
        <v>2495</v>
      </c>
      <c r="H85" s="1094">
        <f>'12.1.Разходи-увелич.и нам.'!K84+'12.1.Разходи-увелич.и нам.'!L84</f>
        <v>2391</v>
      </c>
      <c r="I85" s="1095">
        <f>'12.1.Разходи-увелич.и нам.'!M84+'12.1.Разходи-увелич.и нам.'!N84</f>
        <v>3040</v>
      </c>
      <c r="J85" s="2068"/>
      <c r="K85" s="1092"/>
      <c r="L85" s="2075">
        <f>'12.1.Разходи-увелич.и нам.'!Q84+'12.1.Разходи-увелич.и нам.'!R84</f>
        <v>13.5</v>
      </c>
      <c r="M85" s="1093">
        <f>'12.1.Разходи-увелич.и нам.'!S84+'12.1.Разходи-увелич.и нам.'!T84</f>
        <v>13.5</v>
      </c>
      <c r="N85" s="1093">
        <f>'12.1.Разходи-увелич.и нам.'!U84+'12.1.Разходи-увелич.и нам.'!V84</f>
        <v>55</v>
      </c>
      <c r="O85" s="1093">
        <f>'12.1.Разходи-увелич.и нам.'!W84+'12.1.Разходи-увелич.и нам.'!X84</f>
        <v>59.5</v>
      </c>
      <c r="P85" s="2043">
        <f>'12.1.Разходи-увелич.и нам.'!Y84+'12.1.Разходи-увелич.и нам.'!Z84</f>
        <v>93.5</v>
      </c>
      <c r="Q85" s="2068"/>
      <c r="R85" s="1092"/>
      <c r="S85" s="2072">
        <f>'12.1.Разходи-увелич.и нам.'!AC84+'12.1.Разходи-увелич.и нам.'!AD84</f>
        <v>419</v>
      </c>
      <c r="T85" s="1093">
        <f>'12.1.Разходи-увелич.и нам.'!AE84+'12.1.Разходи-увелич.и нам.'!AF84</f>
        <v>548</v>
      </c>
      <c r="U85" s="1093">
        <f>'12.1.Разходи-увелич.и нам.'!AG84+'12.1.Разходи-увелич.и нам.'!AH84</f>
        <v>607</v>
      </c>
      <c r="V85" s="1093">
        <f>'12.1.Разходи-увелич.и нам.'!AI84+'12.1.Разходи-увелич.и нам.'!AJ84</f>
        <v>715</v>
      </c>
      <c r="W85" s="2043">
        <f>'12.1.Разходи-увелич.и нам.'!AK84+'12.1.Разходи-увелич.и нам.'!AL84</f>
        <v>715</v>
      </c>
      <c r="X85" s="2078"/>
      <c r="Y85" s="2078"/>
      <c r="Z85" s="2077"/>
      <c r="AA85" s="1096"/>
      <c r="AB85" s="1096"/>
      <c r="AC85" s="1096"/>
      <c r="AD85" s="1097"/>
    </row>
    <row r="86" spans="1:39" s="506" customFormat="1" ht="15.75" thickBot="1">
      <c r="A86" s="2045"/>
      <c r="B86" s="2046" t="s">
        <v>854</v>
      </c>
      <c r="C86" s="2069">
        <f t="shared" ref="C86:AD86" si="23">C23+C46+C59+C63+C65</f>
        <v>980</v>
      </c>
      <c r="D86" s="1098">
        <f t="shared" si="23"/>
        <v>900</v>
      </c>
      <c r="E86" s="1099">
        <f t="shared" si="23"/>
        <v>980</v>
      </c>
      <c r="F86" s="1100">
        <f t="shared" si="23"/>
        <v>980</v>
      </c>
      <c r="G86" s="1100">
        <f t="shared" si="23"/>
        <v>980</v>
      </c>
      <c r="H86" s="1100">
        <f t="shared" si="23"/>
        <v>980</v>
      </c>
      <c r="I86" s="1101">
        <f t="shared" si="23"/>
        <v>980</v>
      </c>
      <c r="J86" s="2069">
        <f t="shared" si="23"/>
        <v>15</v>
      </c>
      <c r="K86" s="1098">
        <f t="shared" si="23"/>
        <v>18</v>
      </c>
      <c r="L86" s="1099">
        <f t="shared" si="23"/>
        <v>15</v>
      </c>
      <c r="M86" s="1100">
        <f t="shared" si="23"/>
        <v>15</v>
      </c>
      <c r="N86" s="1100">
        <f t="shared" si="23"/>
        <v>15</v>
      </c>
      <c r="O86" s="1100">
        <f t="shared" si="23"/>
        <v>15</v>
      </c>
      <c r="P86" s="1101">
        <f t="shared" si="23"/>
        <v>15</v>
      </c>
      <c r="Q86" s="2069">
        <f t="shared" si="23"/>
        <v>21</v>
      </c>
      <c r="R86" s="1098">
        <f t="shared" si="23"/>
        <v>59</v>
      </c>
      <c r="S86" s="1099">
        <f t="shared" si="23"/>
        <v>21</v>
      </c>
      <c r="T86" s="1100">
        <f t="shared" si="23"/>
        <v>56</v>
      </c>
      <c r="U86" s="1100">
        <f t="shared" si="23"/>
        <v>21</v>
      </c>
      <c r="V86" s="1100">
        <f t="shared" si="23"/>
        <v>21</v>
      </c>
      <c r="W86" s="1101">
        <f t="shared" si="23"/>
        <v>21</v>
      </c>
      <c r="X86" s="1098">
        <f t="shared" si="23"/>
        <v>14</v>
      </c>
      <c r="Y86" s="1098">
        <f t="shared" si="23"/>
        <v>0</v>
      </c>
      <c r="Z86" s="1099">
        <f t="shared" si="23"/>
        <v>14</v>
      </c>
      <c r="AA86" s="1100">
        <f t="shared" si="23"/>
        <v>14</v>
      </c>
      <c r="AB86" s="1100">
        <f t="shared" si="23"/>
        <v>14</v>
      </c>
      <c r="AC86" s="1100">
        <f t="shared" si="23"/>
        <v>14</v>
      </c>
      <c r="AD86" s="1101">
        <f t="shared" si="23"/>
        <v>14</v>
      </c>
      <c r="AE86" s="352"/>
      <c r="AF86" s="352"/>
      <c r="AG86" s="352"/>
      <c r="AH86" s="352"/>
      <c r="AI86" s="352"/>
      <c r="AJ86" s="352"/>
      <c r="AK86" s="352"/>
      <c r="AL86" s="352"/>
      <c r="AM86" s="352"/>
    </row>
    <row r="87" spans="1:39" s="506" customFormat="1" ht="15.75" customHeight="1" thickBot="1">
      <c r="A87" s="2045"/>
      <c r="B87" s="2046" t="s">
        <v>855</v>
      </c>
      <c r="C87" s="2070">
        <f t="shared" ref="C87:AD87" si="24">C12+C17+C19+C30+(C47+C48)+(C68+C69+C70)</f>
        <v>3523</v>
      </c>
      <c r="D87" s="1102">
        <f t="shared" si="24"/>
        <v>3539</v>
      </c>
      <c r="E87" s="2073">
        <f t="shared" si="24"/>
        <v>3481</v>
      </c>
      <c r="F87" s="1103">
        <f t="shared" si="24"/>
        <v>3481</v>
      </c>
      <c r="G87" s="1103">
        <f t="shared" si="24"/>
        <v>3481</v>
      </c>
      <c r="H87" s="1103">
        <f t="shared" si="24"/>
        <v>3400</v>
      </c>
      <c r="I87" s="1104">
        <f t="shared" si="24"/>
        <v>3322</v>
      </c>
      <c r="J87" s="2070">
        <f t="shared" si="24"/>
        <v>42</v>
      </c>
      <c r="K87" s="1102">
        <f t="shared" si="24"/>
        <v>51</v>
      </c>
      <c r="L87" s="2073">
        <f t="shared" si="24"/>
        <v>45.5</v>
      </c>
      <c r="M87" s="1103">
        <f t="shared" si="24"/>
        <v>45.5</v>
      </c>
      <c r="N87" s="1103">
        <f t="shared" si="24"/>
        <v>46</v>
      </c>
      <c r="O87" s="1103">
        <f t="shared" si="24"/>
        <v>45.5</v>
      </c>
      <c r="P87" s="1104">
        <f t="shared" si="24"/>
        <v>45.5</v>
      </c>
      <c r="Q87" s="2070">
        <f t="shared" si="24"/>
        <v>387</v>
      </c>
      <c r="R87" s="1102">
        <f t="shared" si="24"/>
        <v>362</v>
      </c>
      <c r="S87" s="2073">
        <f t="shared" si="24"/>
        <v>450</v>
      </c>
      <c r="T87" s="1103">
        <f t="shared" si="24"/>
        <v>453</v>
      </c>
      <c r="U87" s="1103">
        <f t="shared" si="24"/>
        <v>453</v>
      </c>
      <c r="V87" s="1103">
        <f t="shared" si="24"/>
        <v>453</v>
      </c>
      <c r="W87" s="1104">
        <f t="shared" si="24"/>
        <v>453</v>
      </c>
      <c r="X87" s="1102">
        <f t="shared" si="24"/>
        <v>40.07</v>
      </c>
      <c r="Y87" s="1102">
        <f t="shared" si="24"/>
        <v>31</v>
      </c>
      <c r="Z87" s="2073">
        <f t="shared" si="24"/>
        <v>40.630000000000003</v>
      </c>
      <c r="AA87" s="1103">
        <f t="shared" si="24"/>
        <v>40.630000000000003</v>
      </c>
      <c r="AB87" s="1103">
        <f t="shared" si="24"/>
        <v>40.630000000000003</v>
      </c>
      <c r="AC87" s="1103">
        <f t="shared" si="24"/>
        <v>40.630000000000003</v>
      </c>
      <c r="AD87" s="1104">
        <f t="shared" si="24"/>
        <v>40.630000000000003</v>
      </c>
      <c r="AE87" s="352"/>
      <c r="AF87" s="352"/>
      <c r="AG87" s="352"/>
      <c r="AH87" s="352"/>
      <c r="AI87" s="352"/>
      <c r="AJ87" s="352"/>
      <c r="AK87" s="352"/>
      <c r="AL87" s="352"/>
      <c r="AM87" s="352"/>
    </row>
    <row r="88" spans="1:39" ht="15.75" thickBot="1">
      <c r="A88" s="2802"/>
      <c r="B88" s="2802"/>
      <c r="C88" s="2803"/>
      <c r="D88" s="2804"/>
      <c r="E88" s="2804"/>
      <c r="F88" s="2804"/>
      <c r="G88" s="2804"/>
      <c r="H88" s="2804"/>
      <c r="I88" s="2805"/>
      <c r="J88" s="2806"/>
      <c r="K88" s="2806"/>
      <c r="L88" s="2806"/>
      <c r="M88" s="2806"/>
      <c r="N88" s="2806"/>
      <c r="O88" s="2806"/>
      <c r="P88" s="2806"/>
      <c r="Q88" s="2806"/>
      <c r="R88" s="2806"/>
      <c r="S88" s="2806"/>
      <c r="T88" s="2806"/>
      <c r="U88" s="2806"/>
      <c r="V88" s="2806"/>
      <c r="W88" s="2807"/>
    </row>
    <row r="89" spans="1:39">
      <c r="A89" s="2802"/>
      <c r="B89" s="3535" t="s">
        <v>1245</v>
      </c>
      <c r="C89" s="3528" t="s">
        <v>270</v>
      </c>
      <c r="D89" s="3529"/>
      <c r="E89" s="3529"/>
      <c r="F89" s="3529"/>
      <c r="G89" s="3529"/>
      <c r="H89" s="3529"/>
      <c r="I89" s="3530"/>
      <c r="J89" s="3531" t="s">
        <v>271</v>
      </c>
      <c r="K89" s="3532"/>
      <c r="L89" s="3532"/>
      <c r="M89" s="3532"/>
      <c r="N89" s="3532"/>
      <c r="O89" s="3532"/>
      <c r="P89" s="3533"/>
      <c r="Q89" s="3534" t="s">
        <v>272</v>
      </c>
      <c r="R89" s="3532"/>
      <c r="S89" s="3532"/>
      <c r="T89" s="3532"/>
      <c r="U89" s="3532"/>
      <c r="V89" s="3532"/>
      <c r="W89" s="3533"/>
    </row>
    <row r="90" spans="1:39" ht="15.75" thickBot="1">
      <c r="A90" s="2802"/>
      <c r="B90" s="3536"/>
      <c r="C90" s="2808" t="str">
        <f t="shared" ref="C90:W90" si="25">C10</f>
        <v>2015 г.</v>
      </c>
      <c r="D90" s="2809" t="str">
        <f t="shared" si="25"/>
        <v>2016 г.</v>
      </c>
      <c r="E90" s="2809" t="str">
        <f t="shared" si="25"/>
        <v>2017 г.</v>
      </c>
      <c r="F90" s="2809" t="str">
        <f t="shared" si="25"/>
        <v>2018 г.</v>
      </c>
      <c r="G90" s="2809" t="str">
        <f t="shared" si="25"/>
        <v>2019 г.</v>
      </c>
      <c r="H90" s="2809" t="str">
        <f t="shared" si="25"/>
        <v>2020 г.</v>
      </c>
      <c r="I90" s="2810" t="str">
        <f t="shared" si="25"/>
        <v>2021 г.</v>
      </c>
      <c r="J90" s="2811" t="str">
        <f t="shared" si="25"/>
        <v>2015 г.</v>
      </c>
      <c r="K90" s="2809" t="str">
        <f t="shared" si="25"/>
        <v>2016 г.</v>
      </c>
      <c r="L90" s="2809" t="str">
        <f t="shared" si="25"/>
        <v>2017 г.</v>
      </c>
      <c r="M90" s="2809" t="str">
        <f t="shared" si="25"/>
        <v>2018 г.</v>
      </c>
      <c r="N90" s="2809" t="str">
        <f t="shared" si="25"/>
        <v>2019 г.</v>
      </c>
      <c r="O90" s="2809" t="str">
        <f t="shared" si="25"/>
        <v>2020 г.</v>
      </c>
      <c r="P90" s="2810" t="str">
        <f t="shared" si="25"/>
        <v>2021 г.</v>
      </c>
      <c r="Q90" s="2808" t="str">
        <f t="shared" si="25"/>
        <v>2015 г.</v>
      </c>
      <c r="R90" s="2809" t="str">
        <f t="shared" si="25"/>
        <v>2016 г.</v>
      </c>
      <c r="S90" s="2809" t="str">
        <f t="shared" si="25"/>
        <v>2017 г.</v>
      </c>
      <c r="T90" s="2809" t="str">
        <f t="shared" si="25"/>
        <v>2018 г.</v>
      </c>
      <c r="U90" s="2809" t="str">
        <f t="shared" si="25"/>
        <v>2019 г.</v>
      </c>
      <c r="V90" s="2809" t="str">
        <f t="shared" si="25"/>
        <v>2020 г.</v>
      </c>
      <c r="W90" s="2810" t="str">
        <f t="shared" si="25"/>
        <v>2021 г.</v>
      </c>
    </row>
    <row r="91" spans="1:39" ht="24.75">
      <c r="A91" s="2802"/>
      <c r="B91" s="2812" t="s">
        <v>1237</v>
      </c>
      <c r="C91" s="2813">
        <f t="shared" ref="C91:W91" si="26">C28-C30</f>
        <v>736</v>
      </c>
      <c r="D91" s="2814">
        <f t="shared" si="26"/>
        <v>644</v>
      </c>
      <c r="E91" s="2814">
        <f t="shared" si="26"/>
        <v>736</v>
      </c>
      <c r="F91" s="2814">
        <f t="shared" si="26"/>
        <v>736</v>
      </c>
      <c r="G91" s="2814">
        <f t="shared" si="26"/>
        <v>736</v>
      </c>
      <c r="H91" s="2814">
        <f t="shared" si="26"/>
        <v>736</v>
      </c>
      <c r="I91" s="2815">
        <f t="shared" si="26"/>
        <v>736</v>
      </c>
      <c r="J91" s="2816">
        <f t="shared" si="26"/>
        <v>26</v>
      </c>
      <c r="K91" s="2814">
        <f t="shared" si="26"/>
        <v>20</v>
      </c>
      <c r="L91" s="2814">
        <f t="shared" si="26"/>
        <v>26</v>
      </c>
      <c r="M91" s="2814">
        <f t="shared" si="26"/>
        <v>26</v>
      </c>
      <c r="N91" s="2814">
        <f t="shared" si="26"/>
        <v>26</v>
      </c>
      <c r="O91" s="2814">
        <f t="shared" si="26"/>
        <v>26</v>
      </c>
      <c r="P91" s="2815">
        <f t="shared" si="26"/>
        <v>26</v>
      </c>
      <c r="Q91" s="2817">
        <f t="shared" si="26"/>
        <v>51</v>
      </c>
      <c r="R91" s="2814">
        <f t="shared" si="26"/>
        <v>303</v>
      </c>
      <c r="S91" s="2814">
        <f t="shared" si="26"/>
        <v>51</v>
      </c>
      <c r="T91" s="2814">
        <f t="shared" si="26"/>
        <v>51</v>
      </c>
      <c r="U91" s="2814">
        <f t="shared" si="26"/>
        <v>51</v>
      </c>
      <c r="V91" s="2814">
        <f t="shared" si="26"/>
        <v>51</v>
      </c>
      <c r="W91" s="2815">
        <f t="shared" si="26"/>
        <v>51</v>
      </c>
    </row>
    <row r="92" spans="1:39">
      <c r="A92" s="2802"/>
      <c r="B92" s="2818" t="s">
        <v>1238</v>
      </c>
      <c r="C92" s="2819">
        <f>C57+C61</f>
        <v>3983</v>
      </c>
      <c r="D92" s="2820">
        <f t="shared" ref="D92:W92" si="27">D57+D61</f>
        <v>4678</v>
      </c>
      <c r="E92" s="2820">
        <f t="shared" si="27"/>
        <v>6267</v>
      </c>
      <c r="F92" s="2820">
        <f t="shared" si="27"/>
        <v>6467</v>
      </c>
      <c r="G92" s="2820">
        <f t="shared" si="27"/>
        <v>6497</v>
      </c>
      <c r="H92" s="2820">
        <f t="shared" si="27"/>
        <v>6497</v>
      </c>
      <c r="I92" s="2821">
        <f t="shared" si="27"/>
        <v>7224</v>
      </c>
      <c r="J92" s="2822">
        <f t="shared" si="27"/>
        <v>465</v>
      </c>
      <c r="K92" s="2820">
        <f t="shared" si="27"/>
        <v>487</v>
      </c>
      <c r="L92" s="2820">
        <f t="shared" si="27"/>
        <v>475</v>
      </c>
      <c r="M92" s="2820">
        <f t="shared" si="27"/>
        <v>475</v>
      </c>
      <c r="N92" s="2820">
        <f t="shared" si="27"/>
        <v>516</v>
      </c>
      <c r="O92" s="2820">
        <f t="shared" si="27"/>
        <v>521</v>
      </c>
      <c r="P92" s="2821">
        <f t="shared" si="27"/>
        <v>555</v>
      </c>
      <c r="Q92" s="2823">
        <f t="shared" si="27"/>
        <v>291</v>
      </c>
      <c r="R92" s="2820">
        <f t="shared" si="27"/>
        <v>300</v>
      </c>
      <c r="S92" s="2820">
        <f t="shared" si="27"/>
        <v>647</v>
      </c>
      <c r="T92" s="2820">
        <f t="shared" si="27"/>
        <v>723</v>
      </c>
      <c r="U92" s="2820">
        <f t="shared" si="27"/>
        <v>817</v>
      </c>
      <c r="V92" s="2820">
        <f t="shared" si="27"/>
        <v>925</v>
      </c>
      <c r="W92" s="2821">
        <f t="shared" si="27"/>
        <v>925</v>
      </c>
    </row>
    <row r="93" spans="1:39">
      <c r="A93" s="2802"/>
      <c r="B93" s="2818" t="s">
        <v>1239</v>
      </c>
      <c r="C93" s="2819">
        <f>C86</f>
        <v>980</v>
      </c>
      <c r="D93" s="2820">
        <f t="shared" ref="D93:W93" si="28">D86</f>
        <v>900</v>
      </c>
      <c r="E93" s="2820">
        <f t="shared" si="28"/>
        <v>980</v>
      </c>
      <c r="F93" s="2820">
        <f t="shared" si="28"/>
        <v>980</v>
      </c>
      <c r="G93" s="2820">
        <f t="shared" si="28"/>
        <v>980</v>
      </c>
      <c r="H93" s="2820">
        <f t="shared" si="28"/>
        <v>980</v>
      </c>
      <c r="I93" s="2821">
        <f t="shared" si="28"/>
        <v>980</v>
      </c>
      <c r="J93" s="2822">
        <f t="shared" si="28"/>
        <v>15</v>
      </c>
      <c r="K93" s="2820">
        <f t="shared" si="28"/>
        <v>18</v>
      </c>
      <c r="L93" s="2820">
        <f t="shared" si="28"/>
        <v>15</v>
      </c>
      <c r="M93" s="2820">
        <f t="shared" si="28"/>
        <v>15</v>
      </c>
      <c r="N93" s="2820">
        <f t="shared" si="28"/>
        <v>15</v>
      </c>
      <c r="O93" s="2820">
        <f t="shared" si="28"/>
        <v>15</v>
      </c>
      <c r="P93" s="2821">
        <f t="shared" si="28"/>
        <v>15</v>
      </c>
      <c r="Q93" s="2823">
        <f t="shared" si="28"/>
        <v>21</v>
      </c>
      <c r="R93" s="2820">
        <f t="shared" si="28"/>
        <v>59</v>
      </c>
      <c r="S93" s="2820">
        <f t="shared" si="28"/>
        <v>21</v>
      </c>
      <c r="T93" s="2820">
        <f t="shared" si="28"/>
        <v>56</v>
      </c>
      <c r="U93" s="2820">
        <f t="shared" si="28"/>
        <v>21</v>
      </c>
      <c r="V93" s="2820">
        <f t="shared" si="28"/>
        <v>21</v>
      </c>
      <c r="W93" s="2821">
        <f t="shared" si="28"/>
        <v>21</v>
      </c>
    </row>
    <row r="94" spans="1:39" ht="15.75" thickBot="1">
      <c r="A94" s="2802"/>
      <c r="B94" s="2824" t="s">
        <v>1240</v>
      </c>
      <c r="C94" s="2825">
        <f>C87</f>
        <v>3523</v>
      </c>
      <c r="D94" s="2826">
        <f t="shared" ref="D94:W94" si="29">D87</f>
        <v>3539</v>
      </c>
      <c r="E94" s="2826">
        <f t="shared" si="29"/>
        <v>3481</v>
      </c>
      <c r="F94" s="2826">
        <f t="shared" si="29"/>
        <v>3481</v>
      </c>
      <c r="G94" s="2826">
        <f t="shared" si="29"/>
        <v>3481</v>
      </c>
      <c r="H94" s="2826">
        <f t="shared" si="29"/>
        <v>3400</v>
      </c>
      <c r="I94" s="2827">
        <f t="shared" si="29"/>
        <v>3322</v>
      </c>
      <c r="J94" s="2828">
        <f t="shared" si="29"/>
        <v>42</v>
      </c>
      <c r="K94" s="2826">
        <f t="shared" si="29"/>
        <v>51</v>
      </c>
      <c r="L94" s="2826">
        <f t="shared" si="29"/>
        <v>45.5</v>
      </c>
      <c r="M94" s="2826">
        <f t="shared" si="29"/>
        <v>45.5</v>
      </c>
      <c r="N94" s="2826">
        <f t="shared" si="29"/>
        <v>46</v>
      </c>
      <c r="O94" s="2826">
        <f t="shared" si="29"/>
        <v>45.5</v>
      </c>
      <c r="P94" s="2827">
        <f t="shared" si="29"/>
        <v>45.5</v>
      </c>
      <c r="Q94" s="2825">
        <f t="shared" si="29"/>
        <v>387</v>
      </c>
      <c r="R94" s="2826">
        <f t="shared" si="29"/>
        <v>362</v>
      </c>
      <c r="S94" s="2826">
        <f t="shared" si="29"/>
        <v>450</v>
      </c>
      <c r="T94" s="2826">
        <f t="shared" si="29"/>
        <v>453</v>
      </c>
      <c r="U94" s="2826">
        <f t="shared" si="29"/>
        <v>453</v>
      </c>
      <c r="V94" s="2826">
        <f t="shared" si="29"/>
        <v>453</v>
      </c>
      <c r="W94" s="2827">
        <f t="shared" si="29"/>
        <v>453</v>
      </c>
    </row>
    <row r="95" spans="1:39" ht="6.75" customHeight="1" thickBot="1">
      <c r="A95" s="2802"/>
      <c r="B95" s="2829"/>
      <c r="C95" s="2830"/>
      <c r="D95" s="2831"/>
      <c r="E95" s="2831"/>
      <c r="F95" s="2831"/>
      <c r="G95" s="2831"/>
      <c r="H95" s="2831"/>
      <c r="I95" s="2832"/>
      <c r="J95" s="2833"/>
      <c r="K95" s="2834"/>
      <c r="L95" s="2834"/>
      <c r="M95" s="2834"/>
      <c r="N95" s="2834"/>
      <c r="O95" s="2834"/>
      <c r="P95" s="2835"/>
      <c r="Q95" s="2836"/>
      <c r="R95" s="2834"/>
      <c r="S95" s="2834"/>
      <c r="T95" s="2834"/>
      <c r="U95" s="2834"/>
      <c r="V95" s="2834"/>
      <c r="W95" s="2832"/>
    </row>
    <row r="96" spans="1:39">
      <c r="A96" s="2802"/>
      <c r="B96" s="2837" t="s">
        <v>1232</v>
      </c>
      <c r="C96" s="2838">
        <f>'2. Променливи'!E23</f>
        <v>2834</v>
      </c>
      <c r="D96" s="2839">
        <f>'2. Променливи'!F23</f>
        <v>2834</v>
      </c>
      <c r="E96" s="2839">
        <f>'2. Променливи'!G23</f>
        <v>2834</v>
      </c>
      <c r="F96" s="2839">
        <f>'2. Променливи'!H23</f>
        <v>2834</v>
      </c>
      <c r="G96" s="2839">
        <f>'2. Променливи'!I23</f>
        <v>2834</v>
      </c>
      <c r="H96" s="2839">
        <f>'2. Променливи'!J23</f>
        <v>2834</v>
      </c>
      <c r="I96" s="2840">
        <f>'2. Променливи'!K23</f>
        <v>2834</v>
      </c>
      <c r="J96" s="2841"/>
      <c r="K96" s="2842"/>
      <c r="L96" s="2842"/>
      <c r="M96" s="2842"/>
      <c r="N96" s="2842"/>
      <c r="O96" s="2842"/>
      <c r="P96" s="2843"/>
      <c r="Q96" s="2844"/>
      <c r="R96" s="2842"/>
      <c r="S96" s="2842"/>
      <c r="T96" s="2842"/>
      <c r="U96" s="2842"/>
      <c r="V96" s="2842"/>
      <c r="W96" s="2843"/>
    </row>
    <row r="97" spans="1:30">
      <c r="A97" s="2802"/>
      <c r="B97" s="2845" t="s">
        <v>1233</v>
      </c>
      <c r="C97" s="2846"/>
      <c r="D97" s="2847"/>
      <c r="E97" s="2848"/>
      <c r="F97" s="2848"/>
      <c r="G97" s="2848"/>
      <c r="H97" s="2848"/>
      <c r="I97" s="2849"/>
      <c r="J97" s="2850">
        <f>'2. Променливи'!E29</f>
        <v>270</v>
      </c>
      <c r="K97" s="2851">
        <f>'2. Променливи'!F29</f>
        <v>280</v>
      </c>
      <c r="L97" s="2851">
        <f>'2. Променливи'!G29</f>
        <v>270</v>
      </c>
      <c r="M97" s="2851">
        <f>'2. Променливи'!H29</f>
        <v>280</v>
      </c>
      <c r="N97" s="2851">
        <f>'2. Променливи'!I29</f>
        <v>280</v>
      </c>
      <c r="O97" s="2851">
        <f>'2. Променливи'!J29</f>
        <v>280</v>
      </c>
      <c r="P97" s="2852">
        <f>'2. Променливи'!K29</f>
        <v>280</v>
      </c>
      <c r="Q97" s="2853"/>
      <c r="R97" s="2848"/>
      <c r="S97" s="2848"/>
      <c r="T97" s="2848"/>
      <c r="U97" s="2848"/>
      <c r="V97" s="2848"/>
      <c r="W97" s="2849"/>
    </row>
    <row r="98" spans="1:30">
      <c r="A98" s="2802"/>
      <c r="B98" s="2845" t="s">
        <v>1234</v>
      </c>
      <c r="C98" s="2854">
        <f>'4. Отчет и прогн. потребление'!D10/1000</f>
        <v>22866.94</v>
      </c>
      <c r="D98" s="2851">
        <f>'4. Отчет и прогн. потребление'!E10/1000</f>
        <v>22005</v>
      </c>
      <c r="E98" s="2851">
        <f>'4. Отчет и прогн. потребление'!F10/1000</f>
        <v>23201.365000000002</v>
      </c>
      <c r="F98" s="2851">
        <f>'4. Отчет и прогн. потребление'!G10/1000</f>
        <v>23201.365000000002</v>
      </c>
      <c r="G98" s="2851">
        <f>'4. Отчет и прогн. потребление'!H10/1000</f>
        <v>23201.365000000002</v>
      </c>
      <c r="H98" s="2851">
        <f>'4. Отчет и прогн. потребление'!I10/1000</f>
        <v>22000</v>
      </c>
      <c r="I98" s="2852">
        <f>'4. Отчет и прогн. потребление'!J10/1000</f>
        <v>20550</v>
      </c>
      <c r="J98" s="2855"/>
      <c r="K98" s="2848"/>
      <c r="L98" s="2848"/>
      <c r="M98" s="2848"/>
      <c r="N98" s="2848"/>
      <c r="O98" s="2848"/>
      <c r="P98" s="2849"/>
      <c r="Q98" s="2853"/>
      <c r="R98" s="2848"/>
      <c r="S98" s="2848"/>
      <c r="T98" s="2848"/>
      <c r="U98" s="2848"/>
      <c r="V98" s="2848"/>
      <c r="W98" s="2849"/>
    </row>
    <row r="99" spans="1:30">
      <c r="A99" s="2802"/>
      <c r="B99" s="2845" t="s">
        <v>1235</v>
      </c>
      <c r="C99" s="2848"/>
      <c r="D99" s="2848"/>
      <c r="E99" s="2848"/>
      <c r="F99" s="2848"/>
      <c r="G99" s="2848"/>
      <c r="H99" s="2848"/>
      <c r="I99" s="2849"/>
      <c r="J99" s="2850">
        <f>'4. Отчет и прогн. потребление'!D53/1000</f>
        <v>4109.66</v>
      </c>
      <c r="K99" s="2851">
        <f>'4. Отчет и прогн. потребление'!E53/1000</f>
        <v>4300</v>
      </c>
      <c r="L99" s="2851">
        <f>'4. Отчет и прогн. потребление'!F53/1000</f>
        <v>4044.7550000000001</v>
      </c>
      <c r="M99" s="2851">
        <f>'4. Отчет и прогн. потребление'!G53/1000</f>
        <v>4210</v>
      </c>
      <c r="N99" s="2851">
        <f>'4. Отчет и прогн. потребление'!H53/1000</f>
        <v>4220</v>
      </c>
      <c r="O99" s="2851">
        <f>'4. Отчет и прогн. потребление'!I53/1000</f>
        <v>4230</v>
      </c>
      <c r="P99" s="2852">
        <f>'4. Отчет и прогн. потребление'!J53/1000</f>
        <v>4240</v>
      </c>
      <c r="Q99" s="2853"/>
      <c r="R99" s="2848"/>
      <c r="S99" s="2848"/>
      <c r="T99" s="2848"/>
      <c r="U99" s="2848"/>
      <c r="V99" s="2848"/>
      <c r="W99" s="2849"/>
    </row>
    <row r="100" spans="1:30" ht="15.75" thickBot="1">
      <c r="A100" s="2802"/>
      <c r="B100" s="2824" t="s">
        <v>1236</v>
      </c>
      <c r="C100" s="2519"/>
      <c r="D100" s="2519"/>
      <c r="E100" s="2519"/>
      <c r="F100" s="2519"/>
      <c r="G100" s="2519"/>
      <c r="H100" s="2519"/>
      <c r="I100" s="2856"/>
      <c r="J100" s="2857"/>
      <c r="K100" s="2519"/>
      <c r="L100" s="2519"/>
      <c r="M100" s="2519"/>
      <c r="N100" s="2519"/>
      <c r="O100" s="2519"/>
      <c r="P100" s="2856"/>
      <c r="Q100" s="2858">
        <f>'2. Променливи'!E64/1000</f>
        <v>17745.562000000002</v>
      </c>
      <c r="R100" s="2859">
        <f>'2. Променливи'!F64/1000</f>
        <v>19448.400000000001</v>
      </c>
      <c r="S100" s="2859">
        <f>'2. Променливи'!G64/1000</f>
        <v>19448.400000000001</v>
      </c>
      <c r="T100" s="2859">
        <f>'2. Променливи'!H64/1000</f>
        <v>20258.400000000001</v>
      </c>
      <c r="U100" s="2859">
        <f>'2. Променливи'!I64/1000</f>
        <v>20258.400000000001</v>
      </c>
      <c r="V100" s="2859">
        <f>'2. Променливи'!J64/1000</f>
        <v>20258.400000000001</v>
      </c>
      <c r="W100" s="2860">
        <f>'2. Променливи'!K64/1000</f>
        <v>20258.400000000001</v>
      </c>
    </row>
    <row r="101" spans="1:30" ht="8.25" customHeight="1" thickBot="1">
      <c r="A101" s="2802"/>
      <c r="B101" s="2861"/>
      <c r="C101" s="2862"/>
      <c r="D101" s="2863"/>
      <c r="E101" s="2863"/>
      <c r="F101" s="2863"/>
      <c r="G101" s="2863"/>
      <c r="H101" s="2863"/>
      <c r="I101" s="2864"/>
      <c r="J101" s="2865"/>
      <c r="K101" s="2866"/>
      <c r="L101" s="2866"/>
      <c r="M101" s="2866"/>
      <c r="N101" s="2866"/>
      <c r="O101" s="2866"/>
      <c r="P101" s="2867"/>
      <c r="Q101" s="2868"/>
      <c r="R101" s="2866"/>
      <c r="S101" s="2866"/>
      <c r="T101" s="2866"/>
      <c r="U101" s="2866"/>
      <c r="V101" s="2866"/>
      <c r="W101" s="2869"/>
    </row>
    <row r="102" spans="1:30" ht="48.75">
      <c r="A102" s="2802"/>
      <c r="B102" s="2870" t="s">
        <v>1241</v>
      </c>
      <c r="C102" s="2871">
        <f>C91/C96</f>
        <v>0.25970359915314045</v>
      </c>
      <c r="D102" s="2872">
        <f t="shared" ref="D102" si="30">D91/D96</f>
        <v>0.2272406492589979</v>
      </c>
      <c r="E102" s="2872">
        <f>E91/E96</f>
        <v>0.25970359915314045</v>
      </c>
      <c r="F102" s="2872">
        <f>F91/F96</f>
        <v>0.25970359915314045</v>
      </c>
      <c r="G102" s="2872">
        <f t="shared" ref="G102:I102" si="31">G91/G96</f>
        <v>0.25970359915314045</v>
      </c>
      <c r="H102" s="2872">
        <f t="shared" si="31"/>
        <v>0.25970359915314045</v>
      </c>
      <c r="I102" s="2873">
        <f t="shared" si="31"/>
        <v>0.25970359915314045</v>
      </c>
      <c r="J102" s="2874">
        <f>J91/J97</f>
        <v>9.6296296296296297E-2</v>
      </c>
      <c r="K102" s="2872">
        <f t="shared" ref="K102:P102" si="32">K91/K97</f>
        <v>7.1428571428571425E-2</v>
      </c>
      <c r="L102" s="2872">
        <f t="shared" si="32"/>
        <v>9.6296296296296297E-2</v>
      </c>
      <c r="M102" s="2872">
        <f t="shared" si="32"/>
        <v>9.285714285714286E-2</v>
      </c>
      <c r="N102" s="2872">
        <f t="shared" si="32"/>
        <v>9.285714285714286E-2</v>
      </c>
      <c r="O102" s="2872">
        <f t="shared" si="32"/>
        <v>9.285714285714286E-2</v>
      </c>
      <c r="P102" s="2873">
        <f t="shared" si="32"/>
        <v>9.285714285714286E-2</v>
      </c>
      <c r="Q102" s="2871">
        <f>Q91/Q100</f>
        <v>2.8739580070780511E-3</v>
      </c>
      <c r="R102" s="2872">
        <f t="shared" ref="R102:W102" si="33">R91/R100</f>
        <v>1.5579687789226877E-2</v>
      </c>
      <c r="S102" s="2872">
        <f t="shared" si="33"/>
        <v>2.622323687295613E-3</v>
      </c>
      <c r="T102" s="2872">
        <f t="shared" si="33"/>
        <v>2.5174742329107922E-3</v>
      </c>
      <c r="U102" s="2872">
        <f t="shared" si="33"/>
        <v>2.5174742329107922E-3</v>
      </c>
      <c r="V102" s="2872">
        <f t="shared" si="33"/>
        <v>2.5174742329107922E-3</v>
      </c>
      <c r="W102" s="2873">
        <f t="shared" si="33"/>
        <v>2.5174742329107922E-3</v>
      </c>
    </row>
    <row r="103" spans="1:30" ht="36.75">
      <c r="A103" s="2802"/>
      <c r="B103" s="2875" t="s">
        <v>1242</v>
      </c>
      <c r="C103" s="2876">
        <f>C92/C96</f>
        <v>1.4054340155257588</v>
      </c>
      <c r="D103" s="2877">
        <f t="shared" ref="D103:I103" si="34">D92/D96</f>
        <v>1.6506704304869442</v>
      </c>
      <c r="E103" s="2877">
        <f t="shared" si="34"/>
        <v>2.2113620324629499</v>
      </c>
      <c r="F103" s="2877">
        <f t="shared" si="34"/>
        <v>2.2819336626676074</v>
      </c>
      <c r="G103" s="2877">
        <f t="shared" si="34"/>
        <v>2.2925194071983062</v>
      </c>
      <c r="H103" s="2877">
        <f t="shared" si="34"/>
        <v>2.2925194071983062</v>
      </c>
      <c r="I103" s="2878">
        <f t="shared" si="34"/>
        <v>2.549047282992237</v>
      </c>
      <c r="J103" s="2879">
        <f>J92/J97</f>
        <v>1.7222222222222223</v>
      </c>
      <c r="K103" s="2877">
        <f t="shared" ref="K103:P103" si="35">K92/K97</f>
        <v>1.7392857142857143</v>
      </c>
      <c r="L103" s="2877">
        <f t="shared" si="35"/>
        <v>1.7592592592592593</v>
      </c>
      <c r="M103" s="2877">
        <f t="shared" si="35"/>
        <v>1.6964285714285714</v>
      </c>
      <c r="N103" s="2877">
        <f t="shared" si="35"/>
        <v>1.8428571428571427</v>
      </c>
      <c r="O103" s="2877">
        <f t="shared" si="35"/>
        <v>1.8607142857142858</v>
      </c>
      <c r="P103" s="2878">
        <f t="shared" si="35"/>
        <v>1.9821428571428572</v>
      </c>
      <c r="Q103" s="2876">
        <f>Q92/Q100</f>
        <v>1.6398466275680645E-2</v>
      </c>
      <c r="R103" s="2877">
        <f t="shared" ref="R103:W103" si="36">R92/R100</f>
        <v>1.5425433454680075E-2</v>
      </c>
      <c r="S103" s="2877">
        <f t="shared" si="36"/>
        <v>3.326751815059336E-2</v>
      </c>
      <c r="T103" s="2877">
        <f t="shared" si="36"/>
        <v>3.5688899419500056E-2</v>
      </c>
      <c r="U103" s="2877">
        <f t="shared" si="36"/>
        <v>4.0328949966433672E-2</v>
      </c>
      <c r="V103" s="2877">
        <f t="shared" si="36"/>
        <v>4.5660071871421237E-2</v>
      </c>
      <c r="W103" s="2878">
        <f t="shared" si="36"/>
        <v>4.5660071871421237E-2</v>
      </c>
    </row>
    <row r="104" spans="1:30" ht="24.75">
      <c r="A104" s="2802"/>
      <c r="B104" s="2875" t="s">
        <v>1243</v>
      </c>
      <c r="C104" s="2876">
        <f>C93/C96</f>
        <v>0.34580098800282288</v>
      </c>
      <c r="D104" s="2877">
        <f t="shared" ref="D104:I104" si="37">D93/D96</f>
        <v>0.31757233592095979</v>
      </c>
      <c r="E104" s="2877">
        <f t="shared" si="37"/>
        <v>0.34580098800282288</v>
      </c>
      <c r="F104" s="2877">
        <f t="shared" si="37"/>
        <v>0.34580098800282288</v>
      </c>
      <c r="G104" s="2877">
        <f t="shared" si="37"/>
        <v>0.34580098800282288</v>
      </c>
      <c r="H104" s="2877">
        <f t="shared" si="37"/>
        <v>0.34580098800282288</v>
      </c>
      <c r="I104" s="2878">
        <f t="shared" si="37"/>
        <v>0.34580098800282288</v>
      </c>
      <c r="J104" s="2879">
        <f>J93/J97</f>
        <v>5.5555555555555552E-2</v>
      </c>
      <c r="K104" s="2877">
        <f t="shared" ref="K104:P104" si="38">K93/K97</f>
        <v>6.4285714285714279E-2</v>
      </c>
      <c r="L104" s="2877">
        <f t="shared" si="38"/>
        <v>5.5555555555555552E-2</v>
      </c>
      <c r="M104" s="2877">
        <f t="shared" si="38"/>
        <v>5.3571428571428568E-2</v>
      </c>
      <c r="N104" s="2877">
        <f t="shared" si="38"/>
        <v>5.3571428571428568E-2</v>
      </c>
      <c r="O104" s="2877">
        <f t="shared" si="38"/>
        <v>5.3571428571428568E-2</v>
      </c>
      <c r="P104" s="2878">
        <f t="shared" si="38"/>
        <v>5.3571428571428568E-2</v>
      </c>
      <c r="Q104" s="2876">
        <f>Q93/Q100</f>
        <v>1.183394473502727E-3</v>
      </c>
      <c r="R104" s="2877">
        <f t="shared" ref="R104:W104" si="39">R93/R100</f>
        <v>3.0336685794204146E-3</v>
      </c>
      <c r="S104" s="2877">
        <f t="shared" si="39"/>
        <v>1.0797803418276053E-3</v>
      </c>
      <c r="T104" s="2877">
        <f t="shared" si="39"/>
        <v>2.7642854322157719E-3</v>
      </c>
      <c r="U104" s="2877">
        <f t="shared" si="39"/>
        <v>1.0366070370809144E-3</v>
      </c>
      <c r="V104" s="2877">
        <f t="shared" si="39"/>
        <v>1.0366070370809144E-3</v>
      </c>
      <c r="W104" s="2878">
        <f t="shared" si="39"/>
        <v>1.0366070370809144E-3</v>
      </c>
    </row>
    <row r="105" spans="1:30" ht="37.5" thickBot="1">
      <c r="A105" s="2802"/>
      <c r="B105" s="2880" t="s">
        <v>1244</v>
      </c>
      <c r="C105" s="2881">
        <f>C94/C98</f>
        <v>0.15406521379773597</v>
      </c>
      <c r="D105" s="2882">
        <f t="shared" ref="D105:I105" si="40">D94/D98</f>
        <v>0.16082708475346513</v>
      </c>
      <c r="E105" s="2882">
        <f t="shared" si="40"/>
        <v>0.15003427600057151</v>
      </c>
      <c r="F105" s="2882">
        <f t="shared" si="40"/>
        <v>0.15003427600057151</v>
      </c>
      <c r="G105" s="2882">
        <f t="shared" si="40"/>
        <v>0.15003427600057151</v>
      </c>
      <c r="H105" s="2882">
        <f t="shared" si="40"/>
        <v>0.15454545454545454</v>
      </c>
      <c r="I105" s="2883">
        <f t="shared" si="40"/>
        <v>0.16165450121654501</v>
      </c>
      <c r="J105" s="2884">
        <f>J94/J99</f>
        <v>1.0219823537713583E-2</v>
      </c>
      <c r="K105" s="2882">
        <f t="shared" ref="K105:P105" si="41">K94/K99</f>
        <v>1.186046511627907E-2</v>
      </c>
      <c r="L105" s="2882">
        <f t="shared" si="41"/>
        <v>1.124913622703971E-2</v>
      </c>
      <c r="M105" s="2882">
        <f t="shared" si="41"/>
        <v>1.0807600950118765E-2</v>
      </c>
      <c r="N105" s="2882">
        <f t="shared" si="41"/>
        <v>1.0900473933649289E-2</v>
      </c>
      <c r="O105" s="2882">
        <f t="shared" si="41"/>
        <v>1.0756501182033097E-2</v>
      </c>
      <c r="P105" s="2883">
        <f t="shared" si="41"/>
        <v>1.0731132075471697E-2</v>
      </c>
      <c r="Q105" s="2881">
        <f>Q94/Q100</f>
        <v>2.1808269583121681E-2</v>
      </c>
      <c r="R105" s="2882">
        <f t="shared" ref="R105:W105" si="42">R94/R100</f>
        <v>1.8613356368647291E-2</v>
      </c>
      <c r="S105" s="2882">
        <f t="shared" si="42"/>
        <v>2.3138150182020114E-2</v>
      </c>
      <c r="T105" s="2882">
        <f t="shared" si="42"/>
        <v>2.2361094657031157E-2</v>
      </c>
      <c r="U105" s="2882">
        <f t="shared" si="42"/>
        <v>2.2361094657031157E-2</v>
      </c>
      <c r="V105" s="2882">
        <f t="shared" si="42"/>
        <v>2.2361094657031157E-2</v>
      </c>
      <c r="W105" s="2883">
        <f t="shared" si="42"/>
        <v>2.2361094657031157E-2</v>
      </c>
    </row>
    <row r="106" spans="1:30" ht="18.75" customHeight="1">
      <c r="C106" s="1192"/>
      <c r="D106" s="1192"/>
      <c r="E106" s="1192"/>
      <c r="F106" s="1192"/>
      <c r="G106" s="1192"/>
      <c r="H106" s="1192"/>
      <c r="I106" s="1192"/>
      <c r="J106" s="366"/>
      <c r="K106" s="366"/>
      <c r="L106" s="366"/>
      <c r="M106" s="366"/>
      <c r="N106" s="366"/>
      <c r="O106" s="366"/>
      <c r="P106" s="366"/>
      <c r="Q106" s="366"/>
      <c r="R106" s="366"/>
      <c r="S106" s="366"/>
      <c r="T106" s="366"/>
      <c r="U106" s="366"/>
      <c r="V106" s="366"/>
    </row>
    <row r="107" spans="1:30">
      <c r="J107" s="366"/>
      <c r="K107" s="366"/>
      <c r="L107" s="366"/>
      <c r="M107" s="366"/>
      <c r="N107" s="366"/>
      <c r="O107" s="366"/>
      <c r="P107" s="366"/>
      <c r="Q107" s="366"/>
      <c r="R107" s="366"/>
      <c r="S107" s="366"/>
      <c r="T107" s="366"/>
      <c r="U107" s="366"/>
      <c r="V107" s="366"/>
    </row>
    <row r="108" spans="1:30">
      <c r="A108" s="367"/>
      <c r="B108" s="368" t="str">
        <f>'11.1.Амортиз.нови активи'!C115</f>
        <v>Дата: 27.06.2016г.</v>
      </c>
      <c r="W108" s="338"/>
      <c r="X108" s="338"/>
      <c r="Y108" s="338"/>
      <c r="Z108" s="338"/>
      <c r="AA108" s="338"/>
      <c r="AB108" s="338"/>
      <c r="AC108" s="338"/>
      <c r="AD108" s="338"/>
    </row>
    <row r="109" spans="1:30">
      <c r="A109" s="367"/>
      <c r="B109" s="367"/>
      <c r="C109" s="369"/>
      <c r="D109" s="369"/>
      <c r="E109" s="369"/>
      <c r="F109" s="369"/>
      <c r="G109" s="369"/>
      <c r="H109" s="369"/>
      <c r="I109" s="369"/>
      <c r="J109" s="369"/>
      <c r="K109" s="369"/>
      <c r="L109" s="369"/>
      <c r="M109" s="369"/>
      <c r="N109" s="369"/>
      <c r="O109" s="369"/>
      <c r="P109" s="369"/>
      <c r="Q109" s="369"/>
      <c r="R109" s="369"/>
      <c r="S109" s="369"/>
      <c r="T109" s="369"/>
      <c r="U109" s="369"/>
      <c r="V109" s="369"/>
      <c r="W109" s="259"/>
      <c r="X109" s="350" t="str">
        <f>'11.1.Амортиз.нови активи'!U112</f>
        <v>Главен счетоводител:</v>
      </c>
      <c r="Y109" s="339"/>
      <c r="Z109" s="289"/>
      <c r="AA109" s="219" t="s">
        <v>262</v>
      </c>
      <c r="AB109" s="199"/>
      <c r="AC109" s="217"/>
      <c r="AD109" s="259"/>
    </row>
    <row r="110" spans="1:30">
      <c r="A110" s="367"/>
      <c r="B110" s="367"/>
      <c r="C110" s="369"/>
      <c r="D110" s="369"/>
      <c r="E110" s="369"/>
      <c r="F110" s="369"/>
      <c r="G110" s="369"/>
      <c r="H110" s="369"/>
      <c r="I110" s="369"/>
      <c r="J110" s="369"/>
      <c r="K110" s="369"/>
      <c r="L110" s="369"/>
      <c r="M110" s="369"/>
      <c r="N110" s="369"/>
      <c r="O110" s="369"/>
      <c r="P110" s="369"/>
      <c r="Q110" s="369"/>
      <c r="R110" s="369"/>
      <c r="S110" s="369"/>
      <c r="T110" s="369"/>
      <c r="U110" s="369"/>
      <c r="V110" s="369"/>
      <c r="W110" s="259"/>
      <c r="X110" s="259"/>
      <c r="Y110" s="288"/>
      <c r="Z110" s="220"/>
      <c r="AA110" s="290"/>
      <c r="AB110" s="291" t="s">
        <v>5</v>
      </c>
      <c r="AC110" s="217"/>
      <c r="AD110" s="259"/>
    </row>
    <row r="111" spans="1:30">
      <c r="A111" s="367"/>
      <c r="B111" s="367"/>
      <c r="C111" s="369"/>
      <c r="D111" s="369"/>
      <c r="E111" s="369"/>
      <c r="F111" s="369"/>
      <c r="G111" s="369"/>
      <c r="H111" s="369"/>
      <c r="I111" s="369"/>
      <c r="J111" s="369"/>
      <c r="K111" s="369"/>
      <c r="L111" s="369"/>
      <c r="M111" s="369"/>
      <c r="N111" s="369"/>
      <c r="O111" s="369"/>
      <c r="P111" s="369"/>
      <c r="Q111" s="369"/>
      <c r="R111" s="369"/>
      <c r="S111" s="369"/>
      <c r="T111" s="369"/>
      <c r="U111" s="369"/>
      <c r="V111" s="369"/>
      <c r="W111" s="259"/>
      <c r="X111" s="259"/>
      <c r="Y111" s="288"/>
      <c r="Z111" s="220"/>
      <c r="AA111" s="290"/>
      <c r="AB111" s="291"/>
      <c r="AC111" s="217"/>
      <c r="AD111" s="259"/>
    </row>
    <row r="112" spans="1:30">
      <c r="A112" s="367"/>
      <c r="B112" s="367"/>
      <c r="C112" s="369"/>
      <c r="D112" s="369"/>
      <c r="E112" s="369"/>
      <c r="F112" s="369"/>
      <c r="G112" s="369"/>
      <c r="H112" s="369"/>
      <c r="I112" s="369"/>
      <c r="J112" s="369"/>
      <c r="K112" s="369"/>
      <c r="L112" s="369"/>
      <c r="M112" s="369"/>
      <c r="N112" s="369"/>
      <c r="O112" s="369"/>
      <c r="P112" s="369"/>
      <c r="Q112" s="369"/>
      <c r="R112" s="369"/>
      <c r="S112" s="369"/>
      <c r="T112" s="369"/>
      <c r="U112" s="369"/>
      <c r="V112" s="369"/>
      <c r="W112" s="259"/>
      <c r="X112" s="259"/>
      <c r="Y112" s="288"/>
      <c r="Z112" s="220"/>
      <c r="AA112" s="290"/>
      <c r="AB112" s="291"/>
      <c r="AC112" s="217"/>
      <c r="AD112" s="259"/>
    </row>
    <row r="113" spans="1:30" s="352" customFormat="1">
      <c r="C113" s="369"/>
      <c r="D113" s="369"/>
      <c r="E113" s="369"/>
      <c r="F113" s="369"/>
      <c r="G113" s="369"/>
      <c r="H113" s="369"/>
      <c r="I113" s="369"/>
      <c r="J113" s="369"/>
      <c r="K113" s="369"/>
      <c r="L113" s="369"/>
      <c r="M113" s="369"/>
      <c r="N113" s="369"/>
      <c r="O113" s="369"/>
      <c r="P113" s="369"/>
      <c r="Q113" s="369"/>
      <c r="R113" s="369"/>
      <c r="S113" s="369"/>
      <c r="T113" s="369"/>
      <c r="U113" s="369"/>
      <c r="V113" s="369"/>
      <c r="W113" s="259"/>
      <c r="X113" s="259"/>
      <c r="Y113" s="288"/>
      <c r="Z113" s="220"/>
      <c r="AA113" s="290"/>
      <c r="AB113" s="291"/>
      <c r="AC113" s="217"/>
      <c r="AD113" s="259"/>
    </row>
    <row r="114" spans="1:30" s="352" customFormat="1">
      <c r="C114" s="370"/>
      <c r="D114" s="370"/>
      <c r="E114" s="370"/>
      <c r="F114" s="370"/>
      <c r="G114" s="370"/>
      <c r="H114" s="370"/>
      <c r="I114" s="370"/>
      <c r="J114" s="370"/>
      <c r="K114" s="370"/>
      <c r="L114" s="370"/>
      <c r="M114" s="370"/>
      <c r="N114" s="370"/>
      <c r="O114" s="370"/>
      <c r="P114" s="370"/>
      <c r="Q114" s="370"/>
      <c r="R114" s="370"/>
      <c r="S114" s="370"/>
      <c r="T114" s="370"/>
      <c r="U114" s="370"/>
      <c r="V114" s="369"/>
      <c r="W114" s="259"/>
      <c r="X114" s="261" t="str">
        <f>'11.1.Амортиз.нови активи'!V118</f>
        <v>Управител:</v>
      </c>
      <c r="Y114" s="292"/>
      <c r="Z114" s="259"/>
      <c r="AA114" s="219" t="s">
        <v>262</v>
      </c>
      <c r="AB114" s="199"/>
      <c r="AC114" s="217"/>
      <c r="AD114" s="259"/>
    </row>
    <row r="115" spans="1:30" s="352" customFormat="1">
      <c r="A115" s="188"/>
      <c r="B115" s="381" t="s">
        <v>247</v>
      </c>
      <c r="C115" s="353"/>
      <c r="D115" s="353"/>
      <c r="E115" s="353"/>
      <c r="F115" s="353"/>
      <c r="G115" s="353"/>
      <c r="H115" s="353"/>
      <c r="I115" s="353"/>
      <c r="J115" s="353"/>
      <c r="K115" s="353"/>
      <c r="L115" s="353"/>
      <c r="M115" s="353"/>
      <c r="N115" s="353"/>
      <c r="O115" s="353"/>
      <c r="P115" s="353"/>
      <c r="Q115" s="353"/>
      <c r="R115" s="353"/>
      <c r="S115" s="353"/>
      <c r="T115" s="353"/>
      <c r="U115" s="353"/>
      <c r="V115" s="353"/>
      <c r="W115" s="259"/>
      <c r="Y115" s="288"/>
      <c r="Z115" s="293"/>
      <c r="AA115" s="290"/>
      <c r="AB115" s="291" t="s">
        <v>6</v>
      </c>
      <c r="AC115" s="217"/>
      <c r="AD115" s="259"/>
    </row>
    <row r="116" spans="1:30" s="352" customFormat="1">
      <c r="B116" s="3063" t="s">
        <v>1536</v>
      </c>
      <c r="C116" s="353"/>
      <c r="D116" s="353"/>
      <c r="E116" s="353"/>
      <c r="F116" s="353"/>
      <c r="G116" s="353"/>
      <c r="H116" s="353"/>
      <c r="I116" s="353"/>
      <c r="J116" s="353"/>
      <c r="K116" s="353"/>
      <c r="L116" s="353"/>
      <c r="M116" s="353"/>
      <c r="N116" s="353"/>
      <c r="O116" s="353"/>
      <c r="P116" s="353"/>
      <c r="Q116" s="353"/>
      <c r="R116" s="353"/>
      <c r="S116" s="353"/>
      <c r="T116" s="353"/>
      <c r="U116" s="353"/>
      <c r="V116" s="353"/>
      <c r="W116" s="353"/>
      <c r="X116" s="353"/>
      <c r="Y116" s="353"/>
      <c r="Z116" s="365"/>
      <c r="AA116" s="365"/>
      <c r="AB116" s="365"/>
      <c r="AC116" s="365"/>
      <c r="AD116" s="365"/>
    </row>
    <row r="117" spans="1:30" s="352" customFormat="1">
      <c r="B117" s="3091" t="s">
        <v>1535</v>
      </c>
      <c r="C117" s="353"/>
      <c r="D117" s="353"/>
      <c r="E117" s="353"/>
      <c r="F117" s="353"/>
      <c r="G117" s="353"/>
      <c r="H117" s="353"/>
      <c r="I117" s="353"/>
      <c r="J117" s="353"/>
      <c r="K117" s="353"/>
      <c r="L117" s="353"/>
      <c r="M117" s="353"/>
      <c r="N117" s="353"/>
      <c r="O117" s="353"/>
      <c r="P117" s="353"/>
      <c r="Q117" s="353"/>
      <c r="R117" s="353"/>
      <c r="S117" s="353"/>
      <c r="T117" s="353"/>
      <c r="U117" s="353"/>
      <c r="V117" s="353"/>
      <c r="W117" s="353"/>
      <c r="X117" s="353"/>
      <c r="Y117" s="353"/>
      <c r="Z117" s="365"/>
      <c r="AA117" s="365"/>
      <c r="AB117" s="365"/>
      <c r="AC117" s="365"/>
      <c r="AD117" s="365"/>
    </row>
    <row r="118" spans="1:30" s="352" customFormat="1">
      <c r="A118" s="372"/>
      <c r="B118" s="649"/>
      <c r="C118" s="648"/>
      <c r="D118" s="648"/>
      <c r="E118" s="648"/>
      <c r="F118" s="648"/>
      <c r="G118" s="648"/>
      <c r="H118" s="373"/>
      <c r="I118" s="373"/>
      <c r="J118" s="373"/>
      <c r="K118" s="373"/>
      <c r="L118" s="373"/>
      <c r="M118" s="373"/>
      <c r="N118" s="373"/>
      <c r="O118" s="373"/>
      <c r="P118" s="373"/>
      <c r="Q118" s="365"/>
      <c r="R118" s="365"/>
      <c r="S118" s="365"/>
      <c r="T118" s="365"/>
      <c r="U118" s="365"/>
      <c r="V118" s="365"/>
      <c r="W118" s="365"/>
      <c r="X118" s="365"/>
      <c r="Y118" s="365"/>
      <c r="Z118" s="365"/>
      <c r="AA118" s="365"/>
      <c r="AB118" s="365"/>
    </row>
    <row r="119" spans="1:30" s="352" customFormat="1" ht="29.25" customHeight="1">
      <c r="A119" s="364"/>
      <c r="B119" s="3525"/>
      <c r="C119" s="614"/>
      <c r="D119" s="614"/>
      <c r="E119" s="614"/>
      <c r="F119" s="614"/>
      <c r="G119" s="614"/>
      <c r="H119" s="365"/>
      <c r="I119" s="365"/>
      <c r="J119" s="365"/>
      <c r="K119" s="365"/>
      <c r="L119" s="365"/>
      <c r="M119" s="365"/>
      <c r="N119" s="365"/>
      <c r="O119" s="365"/>
      <c r="P119" s="365"/>
      <c r="Q119" s="365"/>
      <c r="R119" s="365"/>
      <c r="S119" s="365"/>
      <c r="T119" s="365"/>
      <c r="U119" s="365"/>
      <c r="V119" s="365"/>
      <c r="W119" s="365"/>
      <c r="X119" s="365"/>
      <c r="Y119" s="365"/>
      <c r="Z119" s="365"/>
      <c r="AA119" s="365"/>
      <c r="AB119" s="353"/>
    </row>
    <row r="120" spans="1:30" s="352" customFormat="1">
      <c r="A120" s="364"/>
      <c r="B120" s="3525"/>
      <c r="C120" s="614"/>
      <c r="D120" s="614"/>
      <c r="E120" s="614"/>
      <c r="F120" s="614"/>
      <c r="G120" s="614"/>
      <c r="H120" s="365"/>
      <c r="I120" s="365"/>
      <c r="J120" s="365"/>
      <c r="K120" s="365"/>
      <c r="L120" s="365"/>
      <c r="M120" s="365"/>
      <c r="N120" s="365"/>
      <c r="O120" s="365"/>
      <c r="P120" s="365"/>
      <c r="Q120" s="365"/>
      <c r="R120" s="365"/>
      <c r="S120" s="365"/>
      <c r="T120" s="365"/>
      <c r="U120" s="365"/>
      <c r="V120" s="365"/>
      <c r="W120" s="365"/>
      <c r="X120" s="365"/>
      <c r="Y120" s="365"/>
      <c r="Z120" s="365"/>
      <c r="AA120" s="365"/>
      <c r="AB120" s="365"/>
    </row>
    <row r="121" spans="1:30" s="352" customFormat="1">
      <c r="A121" s="364"/>
      <c r="B121" s="364"/>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row>
    <row r="122" spans="1:30" s="352" customFormat="1">
      <c r="A122" s="364"/>
      <c r="B122" s="364"/>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row>
    <row r="123" spans="1:30" s="352" customFormat="1">
      <c r="A123" s="364"/>
      <c r="B123" s="364"/>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row>
    <row r="124" spans="1:30" s="352" customFormat="1">
      <c r="A124" s="364"/>
      <c r="B124" s="364"/>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73"/>
    </row>
    <row r="125" spans="1:30" s="352" customFormat="1">
      <c r="A125" s="364"/>
      <c r="B125" s="364"/>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row>
    <row r="126" spans="1:30" s="352" customFormat="1">
      <c r="A126" s="364"/>
      <c r="B126" s="364"/>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row>
    <row r="127" spans="1:30" s="352" customFormat="1">
      <c r="A127" s="364"/>
      <c r="B127" s="364"/>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row>
    <row r="128" spans="1:30" s="352" customFormat="1">
      <c r="A128" s="364"/>
      <c r="B128" s="364"/>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row>
    <row r="129" spans="1:30" s="352" customFormat="1">
      <c r="A129" s="364"/>
      <c r="B129" s="364"/>
      <c r="C129" s="365"/>
      <c r="D129" s="365"/>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row>
    <row r="130" spans="1:30" s="352" customFormat="1">
      <c r="A130" s="364"/>
      <c r="B130" s="364"/>
      <c r="C130" s="365"/>
      <c r="D130" s="365"/>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row>
    <row r="131" spans="1:30" s="352" customFormat="1">
      <c r="A131" s="364"/>
      <c r="B131" s="364"/>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row>
    <row r="132" spans="1:30" s="352" customFormat="1">
      <c r="A132" s="364"/>
      <c r="B132" s="364"/>
      <c r="C132" s="365"/>
      <c r="D132" s="365"/>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row>
    <row r="133" spans="1:30" s="352" customFormat="1">
      <c r="A133" s="364"/>
      <c r="B133" s="364"/>
      <c r="C133" s="365"/>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row>
    <row r="134" spans="1:30" s="352" customFormat="1">
      <c r="A134" s="364"/>
      <c r="B134" s="364"/>
      <c r="C134" s="365"/>
      <c r="D134" s="365"/>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row>
    <row r="135" spans="1:30" s="352" customFormat="1">
      <c r="A135" s="364"/>
      <c r="B135" s="364"/>
      <c r="C135" s="365"/>
      <c r="D135" s="365"/>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row>
    <row r="136" spans="1:30" s="352" customFormat="1">
      <c r="A136" s="364"/>
      <c r="B136" s="364"/>
      <c r="C136" s="365"/>
      <c r="D136" s="365"/>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row>
    <row r="137" spans="1:30" s="352" customFormat="1">
      <c r="A137" s="364"/>
      <c r="B137" s="364"/>
      <c r="C137" s="365"/>
      <c r="D137" s="365"/>
      <c r="E137" s="365"/>
      <c r="F137" s="365"/>
      <c r="G137" s="365"/>
      <c r="H137" s="365"/>
      <c r="I137" s="365"/>
      <c r="J137" s="365"/>
      <c r="K137" s="365"/>
      <c r="L137" s="365"/>
      <c r="M137" s="365"/>
      <c r="N137" s="365"/>
      <c r="O137" s="365"/>
      <c r="P137" s="365"/>
      <c r="Q137" s="365"/>
      <c r="R137" s="365"/>
      <c r="S137" s="365"/>
      <c r="T137" s="365"/>
      <c r="U137" s="365"/>
      <c r="V137" s="365"/>
      <c r="W137" s="365"/>
      <c r="X137" s="365"/>
      <c r="Y137" s="365"/>
      <c r="Z137" s="365"/>
      <c r="AA137" s="365"/>
      <c r="AB137" s="365"/>
      <c r="AC137" s="365"/>
      <c r="AD137" s="365"/>
    </row>
    <row r="138" spans="1:30" s="352" customFormat="1">
      <c r="A138" s="364"/>
      <c r="B138" s="364"/>
      <c r="C138" s="365"/>
      <c r="D138" s="365"/>
      <c r="E138" s="365"/>
      <c r="F138" s="365"/>
      <c r="G138" s="365"/>
      <c r="H138" s="365"/>
      <c r="I138" s="365"/>
      <c r="J138" s="365"/>
      <c r="K138" s="365"/>
      <c r="L138" s="365"/>
      <c r="M138" s="365"/>
      <c r="N138" s="365"/>
      <c r="O138" s="365"/>
      <c r="P138" s="365"/>
      <c r="Q138" s="365"/>
      <c r="R138" s="365"/>
      <c r="S138" s="365"/>
      <c r="T138" s="365"/>
      <c r="U138" s="365"/>
      <c r="V138" s="365"/>
      <c r="W138" s="365"/>
      <c r="X138" s="365"/>
      <c r="Y138" s="365"/>
      <c r="Z138" s="365"/>
      <c r="AA138" s="365"/>
      <c r="AB138" s="365"/>
      <c r="AC138" s="365"/>
      <c r="AD138" s="365"/>
    </row>
    <row r="139" spans="1:30" s="352" customFormat="1">
      <c r="A139" s="364"/>
      <c r="B139" s="364"/>
      <c r="C139" s="365"/>
      <c r="D139" s="365"/>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row>
    <row r="140" spans="1:30" s="352" customFormat="1">
      <c r="A140" s="364"/>
      <c r="B140" s="364"/>
      <c r="C140" s="365"/>
      <c r="D140" s="365"/>
      <c r="E140" s="365"/>
      <c r="F140" s="365"/>
      <c r="G140" s="365"/>
      <c r="H140" s="365"/>
      <c r="I140" s="365"/>
      <c r="J140" s="365"/>
      <c r="K140" s="365"/>
      <c r="L140" s="365"/>
      <c r="M140" s="365"/>
      <c r="N140" s="365"/>
      <c r="O140" s="365"/>
      <c r="P140" s="365"/>
      <c r="Q140" s="365"/>
      <c r="R140" s="365"/>
      <c r="S140" s="365"/>
      <c r="T140" s="365"/>
      <c r="U140" s="365"/>
      <c r="V140" s="365"/>
      <c r="W140" s="365"/>
      <c r="X140" s="365"/>
      <c r="Y140" s="365"/>
      <c r="Z140" s="365"/>
      <c r="AA140" s="365"/>
      <c r="AB140" s="365"/>
      <c r="AC140" s="365"/>
      <c r="AD140" s="365"/>
    </row>
    <row r="141" spans="1:30" s="352" customFormat="1">
      <c r="A141" s="364"/>
      <c r="B141" s="364"/>
      <c r="C141" s="365"/>
      <c r="D141" s="365"/>
      <c r="E141" s="365"/>
      <c r="F141" s="365"/>
      <c r="G141" s="365"/>
      <c r="H141" s="365"/>
      <c r="I141" s="365"/>
      <c r="J141" s="365"/>
      <c r="K141" s="365"/>
      <c r="L141" s="365"/>
      <c r="M141" s="365"/>
      <c r="N141" s="365"/>
      <c r="O141" s="365"/>
      <c r="P141" s="365"/>
      <c r="Q141" s="365"/>
      <c r="R141" s="365"/>
      <c r="S141" s="365"/>
      <c r="T141" s="365"/>
      <c r="U141" s="365"/>
      <c r="V141" s="365"/>
      <c r="W141" s="365"/>
      <c r="X141" s="365"/>
      <c r="Y141" s="365"/>
      <c r="Z141" s="365"/>
      <c r="AA141" s="365"/>
      <c r="AB141" s="365"/>
      <c r="AC141" s="365"/>
      <c r="AD141" s="365"/>
    </row>
    <row r="142" spans="1:30" s="352" customFormat="1">
      <c r="A142" s="364"/>
      <c r="B142" s="364"/>
      <c r="C142" s="365"/>
      <c r="D142" s="365"/>
      <c r="E142" s="365"/>
      <c r="F142" s="365"/>
      <c r="G142" s="365"/>
      <c r="H142" s="365"/>
      <c r="I142" s="365"/>
      <c r="J142" s="365"/>
      <c r="K142" s="365"/>
      <c r="L142" s="365"/>
      <c r="M142" s="365"/>
      <c r="N142" s="365"/>
      <c r="O142" s="365"/>
      <c r="P142" s="365"/>
      <c r="Q142" s="365"/>
      <c r="R142" s="365"/>
      <c r="S142" s="365"/>
      <c r="T142" s="365"/>
      <c r="U142" s="365"/>
      <c r="V142" s="365"/>
      <c r="W142" s="365"/>
      <c r="X142" s="365"/>
      <c r="Y142" s="365"/>
      <c r="Z142" s="365"/>
      <c r="AA142" s="365"/>
      <c r="AB142" s="365"/>
      <c r="AC142" s="365"/>
      <c r="AD142" s="365"/>
    </row>
    <row r="143" spans="1:30" s="352" customFormat="1">
      <c r="A143" s="364"/>
      <c r="B143" s="364"/>
      <c r="C143" s="365"/>
      <c r="D143" s="365"/>
      <c r="E143" s="365"/>
      <c r="F143" s="365"/>
      <c r="G143" s="365"/>
      <c r="H143" s="365"/>
      <c r="I143" s="365"/>
      <c r="J143" s="365"/>
      <c r="K143" s="365"/>
      <c r="L143" s="365"/>
      <c r="M143" s="365"/>
      <c r="N143" s="365"/>
      <c r="O143" s="365"/>
      <c r="P143" s="365"/>
      <c r="Q143" s="365"/>
      <c r="R143" s="365"/>
      <c r="S143" s="365"/>
      <c r="T143" s="365"/>
      <c r="U143" s="365"/>
      <c r="V143" s="365"/>
      <c r="W143" s="365"/>
      <c r="X143" s="365"/>
      <c r="Y143" s="365"/>
      <c r="Z143" s="365"/>
      <c r="AA143" s="365"/>
      <c r="AB143" s="365"/>
      <c r="AC143" s="365"/>
      <c r="AD143" s="365"/>
    </row>
    <row r="144" spans="1:30" s="352" customFormat="1">
      <c r="A144" s="364"/>
      <c r="B144" s="364"/>
      <c r="C144" s="365"/>
      <c r="D144" s="365"/>
      <c r="E144" s="365"/>
      <c r="F144" s="365"/>
      <c r="G144" s="365"/>
      <c r="H144" s="365"/>
      <c r="I144" s="365"/>
      <c r="J144" s="365"/>
      <c r="K144" s="365"/>
      <c r="L144" s="365"/>
      <c r="M144" s="365"/>
      <c r="N144" s="365"/>
      <c r="O144" s="365"/>
      <c r="P144" s="365"/>
      <c r="Q144" s="365"/>
      <c r="R144" s="365"/>
      <c r="S144" s="365"/>
      <c r="T144" s="365"/>
      <c r="U144" s="365"/>
      <c r="V144" s="365"/>
      <c r="W144" s="365"/>
      <c r="X144" s="365"/>
      <c r="Y144" s="365"/>
      <c r="Z144" s="365"/>
      <c r="AA144" s="365"/>
      <c r="AB144" s="365"/>
      <c r="AC144" s="365"/>
      <c r="AD144" s="365"/>
    </row>
    <row r="145" spans="1:30" s="352" customFormat="1">
      <c r="A145" s="364"/>
      <c r="B145" s="364"/>
      <c r="C145" s="365"/>
      <c r="D145" s="365"/>
      <c r="E145" s="365"/>
      <c r="F145" s="365"/>
      <c r="G145" s="365"/>
      <c r="H145" s="365"/>
      <c r="I145" s="365"/>
      <c r="J145" s="365"/>
      <c r="K145" s="365"/>
      <c r="L145" s="365"/>
      <c r="M145" s="365"/>
      <c r="N145" s="365"/>
      <c r="O145" s="365"/>
      <c r="P145" s="365"/>
      <c r="Q145" s="365"/>
      <c r="R145" s="365"/>
      <c r="S145" s="365"/>
      <c r="T145" s="365"/>
      <c r="U145" s="365"/>
      <c r="V145" s="365"/>
      <c r="W145" s="365"/>
      <c r="X145" s="365"/>
      <c r="Y145" s="365"/>
      <c r="Z145" s="365"/>
      <c r="AA145" s="365"/>
      <c r="AB145" s="365"/>
      <c r="AC145" s="365"/>
      <c r="AD145" s="365"/>
    </row>
    <row r="146" spans="1:30" s="352" customFormat="1">
      <c r="A146" s="364"/>
      <c r="B146" s="364"/>
      <c r="C146" s="365"/>
      <c r="D146" s="365"/>
      <c r="E146" s="365"/>
      <c r="F146" s="365"/>
      <c r="G146" s="365"/>
      <c r="H146" s="365"/>
      <c r="I146" s="365"/>
      <c r="J146" s="365"/>
      <c r="K146" s="365"/>
      <c r="L146" s="365"/>
      <c r="M146" s="365"/>
      <c r="N146" s="365"/>
      <c r="O146" s="365"/>
      <c r="P146" s="365"/>
      <c r="Q146" s="365"/>
      <c r="R146" s="365"/>
      <c r="S146" s="365"/>
      <c r="T146" s="365"/>
      <c r="U146" s="365"/>
      <c r="V146" s="365"/>
      <c r="W146" s="365"/>
      <c r="X146" s="365"/>
      <c r="Y146" s="365"/>
      <c r="Z146" s="365"/>
      <c r="AA146" s="365"/>
      <c r="AB146" s="365"/>
      <c r="AC146" s="365"/>
      <c r="AD146" s="365"/>
    </row>
    <row r="147" spans="1:30" s="352" customFormat="1">
      <c r="A147" s="364"/>
      <c r="B147" s="364"/>
      <c r="C147" s="365"/>
      <c r="D147" s="365"/>
      <c r="E147" s="365"/>
      <c r="F147" s="365"/>
      <c r="G147" s="365"/>
      <c r="H147" s="365"/>
      <c r="I147" s="365"/>
      <c r="J147" s="365"/>
      <c r="K147" s="365"/>
      <c r="L147" s="365"/>
      <c r="M147" s="365"/>
      <c r="N147" s="365"/>
      <c r="O147" s="365"/>
      <c r="P147" s="365"/>
      <c r="Q147" s="365"/>
      <c r="R147" s="365"/>
      <c r="S147" s="365"/>
      <c r="T147" s="365"/>
      <c r="U147" s="365"/>
      <c r="V147" s="365"/>
      <c r="W147" s="365"/>
      <c r="X147" s="365"/>
      <c r="Y147" s="365"/>
      <c r="Z147" s="365"/>
      <c r="AA147" s="365"/>
      <c r="AB147" s="365"/>
      <c r="AC147" s="365"/>
      <c r="AD147" s="365"/>
    </row>
    <row r="148" spans="1:30" s="352" customFormat="1">
      <c r="A148" s="364"/>
      <c r="B148" s="364"/>
      <c r="C148" s="365"/>
      <c r="D148" s="365"/>
      <c r="E148" s="365"/>
      <c r="F148" s="365"/>
      <c r="G148" s="365"/>
      <c r="H148" s="365"/>
      <c r="I148" s="365"/>
      <c r="J148" s="365"/>
      <c r="K148" s="365"/>
      <c r="L148" s="365"/>
      <c r="M148" s="365"/>
      <c r="N148" s="365"/>
      <c r="O148" s="365"/>
      <c r="P148" s="365"/>
      <c r="Q148" s="365"/>
      <c r="R148" s="365"/>
      <c r="S148" s="365"/>
      <c r="T148" s="365"/>
      <c r="U148" s="365"/>
      <c r="V148" s="365"/>
      <c r="W148" s="365"/>
      <c r="X148" s="365"/>
      <c r="Y148" s="365"/>
      <c r="Z148" s="365"/>
      <c r="AA148" s="365"/>
      <c r="AB148" s="365"/>
      <c r="AC148" s="365"/>
      <c r="AD148" s="365"/>
    </row>
    <row r="149" spans="1:30" s="352" customFormat="1">
      <c r="A149" s="364"/>
      <c r="B149" s="364"/>
      <c r="C149" s="365"/>
      <c r="D149" s="365"/>
      <c r="E149" s="365"/>
      <c r="F149" s="365"/>
      <c r="G149" s="365"/>
      <c r="H149" s="365"/>
      <c r="I149" s="365"/>
      <c r="J149" s="365"/>
      <c r="K149" s="365"/>
      <c r="L149" s="365"/>
      <c r="M149" s="365"/>
      <c r="N149" s="365"/>
      <c r="O149" s="365"/>
      <c r="P149" s="365"/>
      <c r="Q149" s="365"/>
      <c r="R149" s="365"/>
      <c r="S149" s="365"/>
      <c r="T149" s="365"/>
      <c r="U149" s="365"/>
      <c r="V149" s="365"/>
      <c r="W149" s="365"/>
      <c r="X149" s="365"/>
      <c r="Y149" s="365"/>
      <c r="Z149" s="365"/>
      <c r="AA149" s="365"/>
      <c r="AB149" s="365"/>
      <c r="AC149" s="365"/>
      <c r="AD149" s="365"/>
    </row>
    <row r="150" spans="1:30" s="352" customFormat="1">
      <c r="A150" s="364"/>
      <c r="B150" s="364"/>
      <c r="C150" s="365"/>
      <c r="D150" s="365"/>
      <c r="E150" s="365"/>
      <c r="F150" s="365"/>
      <c r="G150" s="365"/>
      <c r="H150" s="365"/>
      <c r="I150" s="365"/>
      <c r="J150" s="365"/>
      <c r="K150" s="365"/>
      <c r="L150" s="365"/>
      <c r="M150" s="365"/>
      <c r="N150" s="365"/>
      <c r="O150" s="365"/>
      <c r="P150" s="365"/>
      <c r="Q150" s="365"/>
      <c r="R150" s="365"/>
      <c r="S150" s="365"/>
      <c r="T150" s="365"/>
      <c r="U150" s="365"/>
      <c r="V150" s="365"/>
      <c r="W150" s="365"/>
      <c r="X150" s="365"/>
      <c r="Y150" s="365"/>
      <c r="Z150" s="365"/>
      <c r="AA150" s="365"/>
      <c r="AB150" s="365"/>
      <c r="AC150" s="365"/>
      <c r="AD150" s="365"/>
    </row>
    <row r="151" spans="1:30" s="352" customFormat="1">
      <c r="A151" s="364"/>
      <c r="B151" s="364"/>
      <c r="C151" s="365"/>
      <c r="D151" s="365"/>
      <c r="E151" s="365"/>
      <c r="F151" s="365"/>
      <c r="G151" s="365"/>
      <c r="H151" s="365"/>
      <c r="I151" s="365"/>
      <c r="J151" s="365"/>
      <c r="K151" s="365"/>
      <c r="L151" s="365"/>
      <c r="M151" s="365"/>
      <c r="N151" s="365"/>
      <c r="O151" s="365"/>
      <c r="P151" s="365"/>
      <c r="Q151" s="365"/>
      <c r="R151" s="365"/>
      <c r="S151" s="365"/>
      <c r="T151" s="365"/>
      <c r="U151" s="365"/>
      <c r="V151" s="365"/>
      <c r="W151" s="365"/>
      <c r="X151" s="365"/>
      <c r="Y151" s="365"/>
      <c r="Z151" s="365"/>
      <c r="AA151" s="365"/>
      <c r="AB151" s="365"/>
      <c r="AC151" s="365"/>
      <c r="AD151" s="365"/>
    </row>
    <row r="152" spans="1:30" s="352" customFormat="1">
      <c r="A152" s="364"/>
      <c r="B152" s="364"/>
      <c r="C152" s="365"/>
      <c r="D152" s="365"/>
      <c r="E152" s="365"/>
      <c r="F152" s="365"/>
      <c r="G152" s="365"/>
      <c r="H152" s="365"/>
      <c r="I152" s="365"/>
      <c r="J152" s="365"/>
      <c r="K152" s="365"/>
      <c r="L152" s="365"/>
      <c r="M152" s="365"/>
      <c r="N152" s="365"/>
      <c r="O152" s="365"/>
      <c r="P152" s="365"/>
      <c r="Q152" s="365"/>
      <c r="R152" s="365"/>
      <c r="S152" s="365"/>
      <c r="T152" s="365"/>
      <c r="U152" s="365"/>
      <c r="V152" s="365"/>
      <c r="W152" s="365"/>
      <c r="X152" s="365"/>
      <c r="Y152" s="365"/>
      <c r="Z152" s="365"/>
      <c r="AA152" s="365"/>
      <c r="AB152" s="365"/>
      <c r="AC152" s="365"/>
      <c r="AD152" s="365"/>
    </row>
    <row r="153" spans="1:30" s="352" customFormat="1">
      <c r="A153" s="364"/>
      <c r="B153" s="364"/>
      <c r="C153" s="365"/>
      <c r="D153" s="365"/>
      <c r="E153" s="365"/>
      <c r="F153" s="365"/>
      <c r="G153" s="365"/>
      <c r="H153" s="365"/>
      <c r="I153" s="365"/>
      <c r="J153" s="365"/>
      <c r="K153" s="365"/>
      <c r="L153" s="365"/>
      <c r="M153" s="365"/>
      <c r="N153" s="365"/>
      <c r="O153" s="365"/>
      <c r="P153" s="365"/>
      <c r="Q153" s="365"/>
      <c r="R153" s="365"/>
      <c r="S153" s="365"/>
      <c r="T153" s="365"/>
      <c r="U153" s="365"/>
      <c r="V153" s="365"/>
      <c r="W153" s="365"/>
      <c r="X153" s="365"/>
      <c r="Y153" s="365"/>
      <c r="Z153" s="365"/>
      <c r="AA153" s="365"/>
      <c r="AB153" s="365"/>
      <c r="AC153" s="365"/>
      <c r="AD153" s="365"/>
    </row>
    <row r="154" spans="1:30" s="352" customFormat="1">
      <c r="A154" s="364"/>
      <c r="B154" s="364"/>
      <c r="C154" s="365"/>
      <c r="D154" s="365"/>
      <c r="E154" s="365"/>
      <c r="F154" s="365"/>
      <c r="G154" s="365"/>
      <c r="H154" s="365"/>
      <c r="I154" s="365"/>
      <c r="J154" s="365"/>
      <c r="K154" s="365"/>
      <c r="L154" s="365"/>
      <c r="M154" s="365"/>
      <c r="N154" s="365"/>
      <c r="O154" s="365"/>
      <c r="P154" s="365"/>
      <c r="Q154" s="365"/>
      <c r="R154" s="365"/>
      <c r="S154" s="365"/>
      <c r="T154" s="365"/>
      <c r="U154" s="365"/>
      <c r="V154" s="365"/>
      <c r="W154" s="365"/>
      <c r="X154" s="365"/>
      <c r="Y154" s="365"/>
      <c r="Z154" s="365"/>
      <c r="AA154" s="365"/>
      <c r="AB154" s="365"/>
      <c r="AC154" s="365"/>
      <c r="AD154" s="365"/>
    </row>
    <row r="155" spans="1:30" s="352" customFormat="1">
      <c r="A155" s="364"/>
      <c r="B155" s="364"/>
      <c r="C155" s="365"/>
      <c r="D155" s="365"/>
      <c r="E155" s="365"/>
      <c r="F155" s="365"/>
      <c r="G155" s="365"/>
      <c r="H155" s="365"/>
      <c r="I155" s="365"/>
      <c r="J155" s="365"/>
      <c r="K155" s="365"/>
      <c r="L155" s="365"/>
      <c r="M155" s="365"/>
      <c r="N155" s="365"/>
      <c r="O155" s="365"/>
      <c r="P155" s="365"/>
      <c r="Q155" s="365"/>
      <c r="R155" s="365"/>
      <c r="S155" s="365"/>
      <c r="T155" s="365"/>
      <c r="U155" s="365"/>
      <c r="V155" s="365"/>
      <c r="W155" s="365"/>
      <c r="X155" s="365"/>
      <c r="Y155" s="365"/>
      <c r="Z155" s="365"/>
      <c r="AA155" s="365"/>
      <c r="AB155" s="365"/>
      <c r="AC155" s="365"/>
      <c r="AD155" s="365"/>
    </row>
    <row r="156" spans="1:30" s="352" customFormat="1">
      <c r="A156" s="364"/>
      <c r="B156" s="364"/>
      <c r="C156" s="365"/>
      <c r="D156" s="365"/>
      <c r="E156" s="365"/>
      <c r="F156" s="365"/>
      <c r="G156" s="365"/>
      <c r="H156" s="365"/>
      <c r="I156" s="365"/>
      <c r="J156" s="365"/>
      <c r="K156" s="365"/>
      <c r="L156" s="365"/>
      <c r="M156" s="365"/>
      <c r="N156" s="365"/>
      <c r="O156" s="365"/>
      <c r="P156" s="365"/>
      <c r="Q156" s="365"/>
      <c r="R156" s="365"/>
      <c r="S156" s="365"/>
      <c r="T156" s="365"/>
      <c r="U156" s="365"/>
      <c r="V156" s="365"/>
      <c r="W156" s="365"/>
      <c r="X156" s="365"/>
      <c r="Y156" s="365"/>
      <c r="Z156" s="365"/>
      <c r="AA156" s="365"/>
      <c r="AB156" s="365"/>
      <c r="AC156" s="365"/>
      <c r="AD156" s="365"/>
    </row>
    <row r="157" spans="1:30" s="352" customFormat="1">
      <c r="A157" s="364"/>
      <c r="B157" s="364"/>
      <c r="C157" s="365"/>
      <c r="D157" s="365"/>
      <c r="E157" s="365"/>
      <c r="F157" s="365"/>
      <c r="G157" s="365"/>
      <c r="H157" s="365"/>
      <c r="I157" s="365"/>
      <c r="J157" s="365"/>
      <c r="K157" s="365"/>
      <c r="L157" s="365"/>
      <c r="M157" s="365"/>
      <c r="N157" s="365"/>
      <c r="O157" s="365"/>
      <c r="P157" s="365"/>
      <c r="Q157" s="365"/>
      <c r="R157" s="365"/>
      <c r="S157" s="365"/>
      <c r="T157" s="365"/>
      <c r="U157" s="365"/>
      <c r="V157" s="365"/>
      <c r="W157" s="365"/>
      <c r="X157" s="365"/>
      <c r="Y157" s="365"/>
      <c r="Z157" s="365"/>
      <c r="AA157" s="365"/>
      <c r="AB157" s="365"/>
      <c r="AC157" s="365"/>
      <c r="AD157" s="365"/>
    </row>
    <row r="158" spans="1:30" s="352" customFormat="1">
      <c r="A158" s="364"/>
      <c r="B158" s="364"/>
      <c r="C158" s="365"/>
      <c r="D158" s="365"/>
      <c r="E158" s="365"/>
      <c r="F158" s="365"/>
      <c r="G158" s="365"/>
      <c r="H158" s="365"/>
      <c r="I158" s="365"/>
      <c r="J158" s="365"/>
      <c r="K158" s="365"/>
      <c r="L158" s="365"/>
      <c r="M158" s="365"/>
      <c r="N158" s="365"/>
      <c r="O158" s="365"/>
      <c r="P158" s="365"/>
      <c r="Q158" s="365"/>
      <c r="R158" s="365"/>
      <c r="S158" s="365"/>
      <c r="T158" s="365"/>
      <c r="U158" s="365"/>
      <c r="V158" s="365"/>
      <c r="W158" s="365"/>
      <c r="X158" s="365"/>
      <c r="Y158" s="365"/>
      <c r="Z158" s="365"/>
      <c r="AA158" s="365"/>
      <c r="AB158" s="365"/>
      <c r="AC158" s="365"/>
      <c r="AD158" s="365"/>
    </row>
    <row r="159" spans="1:30" s="352" customFormat="1">
      <c r="A159" s="364"/>
      <c r="B159" s="364"/>
      <c r="C159" s="365"/>
      <c r="D159" s="365"/>
      <c r="E159" s="365"/>
      <c r="F159" s="365"/>
      <c r="G159" s="365"/>
      <c r="H159" s="365"/>
      <c r="I159" s="365"/>
      <c r="J159" s="365"/>
      <c r="K159" s="365"/>
      <c r="L159" s="365"/>
      <c r="M159" s="365"/>
      <c r="N159" s="365"/>
      <c r="O159" s="365"/>
      <c r="P159" s="365"/>
      <c r="Q159" s="365"/>
      <c r="R159" s="365"/>
      <c r="S159" s="365"/>
      <c r="T159" s="365"/>
      <c r="U159" s="365"/>
      <c r="V159" s="365"/>
      <c r="W159" s="365"/>
      <c r="X159" s="365"/>
      <c r="Y159" s="365"/>
      <c r="Z159" s="365"/>
      <c r="AA159" s="365"/>
      <c r="AB159" s="365"/>
      <c r="AC159" s="365"/>
      <c r="AD159" s="365"/>
    </row>
    <row r="160" spans="1:30" s="352" customFormat="1">
      <c r="A160" s="364"/>
      <c r="B160" s="364"/>
      <c r="C160" s="365"/>
      <c r="D160" s="365"/>
      <c r="E160" s="365"/>
      <c r="F160" s="365"/>
      <c r="G160" s="365"/>
      <c r="H160" s="365"/>
      <c r="I160" s="365"/>
      <c r="J160" s="365"/>
      <c r="K160" s="365"/>
      <c r="L160" s="365"/>
      <c r="M160" s="365"/>
      <c r="N160" s="365"/>
      <c r="O160" s="365"/>
      <c r="P160" s="365"/>
      <c r="Q160" s="365"/>
      <c r="R160" s="365"/>
      <c r="S160" s="365"/>
      <c r="T160" s="365"/>
      <c r="U160" s="365"/>
      <c r="V160" s="365"/>
      <c r="W160" s="365"/>
      <c r="X160" s="365"/>
      <c r="Y160" s="365"/>
      <c r="Z160" s="365"/>
      <c r="AA160" s="365"/>
      <c r="AB160" s="365"/>
      <c r="AC160" s="365"/>
      <c r="AD160" s="365"/>
    </row>
    <row r="161" spans="1:30" s="352" customFormat="1">
      <c r="A161" s="364"/>
      <c r="B161" s="364"/>
      <c r="C161" s="365"/>
      <c r="D161" s="365"/>
      <c r="E161" s="365"/>
      <c r="F161" s="365"/>
      <c r="G161" s="365"/>
      <c r="H161" s="365"/>
      <c r="I161" s="365"/>
      <c r="J161" s="365"/>
      <c r="K161" s="365"/>
      <c r="L161" s="365"/>
      <c r="M161" s="365"/>
      <c r="N161" s="365"/>
      <c r="O161" s="365"/>
      <c r="P161" s="365"/>
      <c r="Q161" s="365"/>
      <c r="R161" s="365"/>
      <c r="S161" s="365"/>
      <c r="T161" s="365"/>
      <c r="U161" s="365"/>
      <c r="V161" s="365"/>
      <c r="W161" s="365"/>
      <c r="X161" s="365"/>
      <c r="Y161" s="365"/>
      <c r="Z161" s="365"/>
      <c r="AA161" s="365"/>
      <c r="AB161" s="365"/>
      <c r="AC161" s="365"/>
      <c r="AD161" s="365"/>
    </row>
    <row r="162" spans="1:30" s="352" customFormat="1">
      <c r="A162" s="364"/>
      <c r="B162" s="364"/>
      <c r="C162" s="365"/>
      <c r="D162" s="365"/>
      <c r="E162" s="365"/>
      <c r="F162" s="365"/>
      <c r="G162" s="365"/>
      <c r="H162" s="365"/>
      <c r="I162" s="365"/>
      <c r="J162" s="365"/>
      <c r="K162" s="365"/>
      <c r="L162" s="365"/>
      <c r="M162" s="365"/>
      <c r="N162" s="365"/>
      <c r="O162" s="365"/>
      <c r="P162" s="365"/>
      <c r="Q162" s="365"/>
      <c r="R162" s="365"/>
      <c r="S162" s="365"/>
      <c r="T162" s="365"/>
      <c r="U162" s="365"/>
      <c r="V162" s="365"/>
      <c r="W162" s="365"/>
      <c r="X162" s="365"/>
      <c r="Y162" s="365"/>
      <c r="Z162" s="365"/>
      <c r="AA162" s="365"/>
      <c r="AB162" s="365"/>
      <c r="AC162" s="365"/>
      <c r="AD162" s="365"/>
    </row>
    <row r="163" spans="1:30" s="352" customFormat="1">
      <c r="A163" s="364"/>
      <c r="B163" s="364"/>
      <c r="C163" s="365"/>
      <c r="D163" s="365"/>
      <c r="E163" s="365"/>
      <c r="F163" s="365"/>
      <c r="G163" s="365"/>
      <c r="H163" s="365"/>
      <c r="I163" s="365"/>
      <c r="J163" s="365"/>
      <c r="K163" s="365"/>
      <c r="L163" s="365"/>
      <c r="M163" s="365"/>
      <c r="N163" s="365"/>
      <c r="O163" s="365"/>
      <c r="P163" s="365"/>
      <c r="Q163" s="365"/>
      <c r="R163" s="365"/>
      <c r="S163" s="365"/>
      <c r="T163" s="365"/>
      <c r="U163" s="365"/>
      <c r="V163" s="365"/>
      <c r="W163" s="365"/>
      <c r="X163" s="365"/>
      <c r="Y163" s="365"/>
      <c r="Z163" s="365"/>
      <c r="AA163" s="365"/>
      <c r="AB163" s="365"/>
      <c r="AC163" s="365"/>
      <c r="AD163" s="365"/>
    </row>
    <row r="164" spans="1:30" s="352" customFormat="1">
      <c r="A164" s="364"/>
      <c r="B164" s="364"/>
      <c r="C164" s="365"/>
      <c r="D164" s="365"/>
      <c r="E164" s="365"/>
      <c r="F164" s="365"/>
      <c r="G164" s="365"/>
      <c r="H164" s="365"/>
      <c r="I164" s="365"/>
      <c r="J164" s="365"/>
      <c r="K164" s="365"/>
      <c r="L164" s="365"/>
      <c r="M164" s="365"/>
      <c r="N164" s="365"/>
      <c r="O164" s="365"/>
      <c r="P164" s="365"/>
      <c r="Q164" s="365"/>
      <c r="R164" s="365"/>
      <c r="S164" s="365"/>
      <c r="T164" s="365"/>
      <c r="U164" s="365"/>
      <c r="V164" s="365"/>
      <c r="W164" s="365"/>
      <c r="X164" s="365"/>
      <c r="Y164" s="365"/>
      <c r="Z164" s="365"/>
      <c r="AA164" s="365"/>
      <c r="AB164" s="365"/>
      <c r="AC164" s="365"/>
      <c r="AD164" s="365"/>
    </row>
    <row r="165" spans="1:30" s="352" customFormat="1">
      <c r="A165" s="364"/>
      <c r="B165" s="364"/>
      <c r="C165" s="365"/>
      <c r="D165" s="365"/>
      <c r="E165" s="365"/>
      <c r="F165" s="365"/>
      <c r="G165" s="365"/>
      <c r="H165" s="365"/>
      <c r="I165" s="365"/>
      <c r="J165" s="365"/>
      <c r="K165" s="365"/>
      <c r="L165" s="365"/>
      <c r="M165" s="365"/>
      <c r="N165" s="365"/>
      <c r="O165" s="365"/>
      <c r="P165" s="365"/>
      <c r="Q165" s="365"/>
      <c r="R165" s="365"/>
      <c r="S165" s="365"/>
      <c r="T165" s="365"/>
      <c r="U165" s="365"/>
      <c r="V165" s="365"/>
      <c r="W165" s="365"/>
      <c r="X165" s="365"/>
      <c r="Y165" s="365"/>
      <c r="Z165" s="365"/>
      <c r="AA165" s="365"/>
      <c r="AB165" s="365"/>
      <c r="AC165" s="365"/>
      <c r="AD165" s="365"/>
    </row>
    <row r="166" spans="1:30" s="352" customFormat="1">
      <c r="A166" s="364"/>
      <c r="B166" s="364"/>
      <c r="C166" s="365"/>
      <c r="D166" s="365"/>
      <c r="E166" s="365"/>
      <c r="F166" s="365"/>
      <c r="G166" s="365"/>
      <c r="H166" s="365"/>
      <c r="I166" s="365"/>
      <c r="J166" s="365"/>
      <c r="K166" s="365"/>
      <c r="L166" s="365"/>
      <c r="M166" s="365"/>
      <c r="N166" s="365"/>
      <c r="O166" s="365"/>
      <c r="P166" s="365"/>
      <c r="Q166" s="365"/>
      <c r="R166" s="365"/>
      <c r="S166" s="365"/>
      <c r="T166" s="365"/>
      <c r="U166" s="365"/>
      <c r="V166" s="365"/>
      <c r="W166" s="365"/>
      <c r="X166" s="365"/>
      <c r="Y166" s="365"/>
      <c r="Z166" s="365"/>
      <c r="AA166" s="365"/>
      <c r="AB166" s="365"/>
      <c r="AC166" s="365"/>
      <c r="AD166" s="365"/>
    </row>
    <row r="167" spans="1:30" s="352" customFormat="1">
      <c r="A167" s="364"/>
      <c r="B167" s="364"/>
      <c r="C167" s="365"/>
      <c r="D167" s="365"/>
      <c r="E167" s="365"/>
      <c r="F167" s="365"/>
      <c r="G167" s="365"/>
      <c r="H167" s="365"/>
      <c r="I167" s="365"/>
      <c r="J167" s="365"/>
      <c r="K167" s="365"/>
      <c r="L167" s="365"/>
      <c r="M167" s="365"/>
      <c r="N167" s="365"/>
      <c r="O167" s="365"/>
      <c r="P167" s="365"/>
      <c r="Q167" s="365"/>
      <c r="R167" s="365"/>
      <c r="S167" s="365"/>
      <c r="T167" s="365"/>
      <c r="U167" s="365"/>
      <c r="V167" s="365"/>
      <c r="W167" s="365"/>
      <c r="X167" s="365"/>
      <c r="Y167" s="365"/>
      <c r="Z167" s="365"/>
      <c r="AA167" s="365"/>
      <c r="AB167" s="365"/>
      <c r="AC167" s="365"/>
      <c r="AD167" s="365"/>
    </row>
    <row r="168" spans="1:30" s="352" customFormat="1">
      <c r="A168" s="364"/>
      <c r="B168" s="364"/>
      <c r="C168" s="365"/>
      <c r="D168" s="365"/>
      <c r="E168" s="365"/>
      <c r="F168" s="365"/>
      <c r="G168" s="365"/>
      <c r="H168" s="365"/>
      <c r="I168" s="365"/>
      <c r="J168" s="365"/>
      <c r="K168" s="365"/>
      <c r="L168" s="365"/>
      <c r="M168" s="365"/>
      <c r="N168" s="365"/>
      <c r="O168" s="365"/>
      <c r="P168" s="365"/>
      <c r="Q168" s="365"/>
      <c r="R168" s="365"/>
      <c r="S168" s="365"/>
      <c r="T168" s="365"/>
      <c r="U168" s="365"/>
      <c r="V168" s="365"/>
      <c r="W168" s="365"/>
      <c r="X168" s="365"/>
      <c r="Y168" s="365"/>
      <c r="Z168" s="365"/>
      <c r="AA168" s="365"/>
      <c r="AB168" s="365"/>
      <c r="AC168" s="365"/>
      <c r="AD168" s="365"/>
    </row>
    <row r="169" spans="1:30" s="352" customFormat="1">
      <c r="A169" s="364"/>
      <c r="B169" s="364"/>
      <c r="C169" s="365"/>
      <c r="D169" s="365"/>
      <c r="E169" s="365"/>
      <c r="F169" s="365"/>
      <c r="G169" s="365"/>
      <c r="H169" s="365"/>
      <c r="I169" s="365"/>
      <c r="J169" s="365"/>
      <c r="K169" s="365"/>
      <c r="L169" s="365"/>
      <c r="M169" s="365"/>
      <c r="N169" s="365"/>
      <c r="O169" s="365"/>
      <c r="P169" s="365"/>
      <c r="Q169" s="365"/>
      <c r="R169" s="365"/>
      <c r="S169" s="365"/>
      <c r="T169" s="365"/>
      <c r="U169" s="365"/>
      <c r="V169" s="365"/>
      <c r="W169" s="365"/>
      <c r="X169" s="365"/>
      <c r="Y169" s="365"/>
      <c r="Z169" s="365"/>
      <c r="AA169" s="365"/>
      <c r="AB169" s="365"/>
      <c r="AC169" s="365"/>
      <c r="AD169" s="365"/>
    </row>
    <row r="170" spans="1:30" s="352" customFormat="1">
      <c r="A170" s="364"/>
      <c r="B170" s="364"/>
      <c r="C170" s="365"/>
      <c r="D170" s="365"/>
      <c r="E170" s="365"/>
      <c r="F170" s="365"/>
      <c r="G170" s="365"/>
      <c r="H170" s="365"/>
      <c r="I170" s="365"/>
      <c r="J170" s="365"/>
      <c r="K170" s="365"/>
      <c r="L170" s="365"/>
      <c r="M170" s="365"/>
      <c r="N170" s="365"/>
      <c r="O170" s="365"/>
      <c r="P170" s="365"/>
      <c r="Q170" s="365"/>
      <c r="R170" s="365"/>
      <c r="S170" s="365"/>
      <c r="T170" s="365"/>
      <c r="U170" s="365"/>
      <c r="V170" s="365"/>
      <c r="W170" s="365"/>
      <c r="X170" s="365"/>
      <c r="Y170" s="365"/>
      <c r="Z170" s="365"/>
      <c r="AA170" s="365"/>
      <c r="AB170" s="365"/>
      <c r="AC170" s="365"/>
      <c r="AD170" s="365"/>
    </row>
    <row r="171" spans="1:30" s="352" customFormat="1">
      <c r="A171" s="364"/>
      <c r="B171" s="364"/>
      <c r="C171" s="365"/>
      <c r="D171" s="365"/>
      <c r="E171" s="365"/>
      <c r="F171" s="365"/>
      <c r="G171" s="365"/>
      <c r="H171" s="365"/>
      <c r="I171" s="365"/>
      <c r="J171" s="365"/>
      <c r="K171" s="365"/>
      <c r="L171" s="365"/>
      <c r="M171" s="365"/>
      <c r="N171" s="365"/>
      <c r="O171" s="365"/>
      <c r="P171" s="365"/>
      <c r="Q171" s="365"/>
      <c r="R171" s="365"/>
      <c r="S171" s="365"/>
      <c r="T171" s="365"/>
      <c r="U171" s="365"/>
      <c r="V171" s="365"/>
      <c r="W171" s="365"/>
      <c r="X171" s="365"/>
      <c r="Y171" s="365"/>
      <c r="Z171" s="365"/>
      <c r="AA171" s="365"/>
      <c r="AB171" s="365"/>
      <c r="AC171" s="365"/>
      <c r="AD171" s="365"/>
    </row>
    <row r="172" spans="1:30" s="352" customFormat="1">
      <c r="A172" s="364"/>
      <c r="B172" s="364"/>
      <c r="C172" s="365"/>
      <c r="D172" s="365"/>
      <c r="E172" s="365"/>
      <c r="F172" s="365"/>
      <c r="G172" s="365"/>
      <c r="H172" s="365"/>
      <c r="I172" s="365"/>
      <c r="J172" s="365"/>
      <c r="K172" s="365"/>
      <c r="L172" s="365"/>
      <c r="M172" s="365"/>
      <c r="N172" s="365"/>
      <c r="O172" s="365"/>
      <c r="P172" s="365"/>
      <c r="Q172" s="365"/>
      <c r="R172" s="365"/>
      <c r="S172" s="365"/>
      <c r="T172" s="365"/>
      <c r="U172" s="365"/>
      <c r="V172" s="365"/>
      <c r="W172" s="365"/>
      <c r="X172" s="365"/>
      <c r="Y172" s="365"/>
      <c r="Z172" s="365"/>
      <c r="AA172" s="365"/>
      <c r="AB172" s="365"/>
      <c r="AC172" s="365"/>
      <c r="AD172" s="365"/>
    </row>
    <row r="173" spans="1:30" s="352" customFormat="1">
      <c r="A173" s="364"/>
      <c r="B173" s="364"/>
      <c r="C173" s="365"/>
      <c r="D173" s="365"/>
      <c r="E173" s="365"/>
      <c r="F173" s="365"/>
      <c r="G173" s="365"/>
      <c r="H173" s="365"/>
      <c r="I173" s="365"/>
      <c r="J173" s="365"/>
      <c r="K173" s="365"/>
      <c r="L173" s="365"/>
      <c r="M173" s="365"/>
      <c r="N173" s="365"/>
      <c r="O173" s="365"/>
      <c r="P173" s="365"/>
      <c r="Q173" s="365"/>
      <c r="R173" s="365"/>
      <c r="S173" s="365"/>
      <c r="T173" s="365"/>
      <c r="U173" s="365"/>
      <c r="V173" s="365"/>
      <c r="W173" s="365"/>
      <c r="X173" s="365"/>
      <c r="Y173" s="365"/>
      <c r="Z173" s="365"/>
      <c r="AA173" s="365"/>
      <c r="AB173" s="365"/>
      <c r="AC173" s="365"/>
      <c r="AD173" s="365"/>
    </row>
    <row r="174" spans="1:30" s="352" customFormat="1">
      <c r="A174" s="364"/>
      <c r="B174" s="364"/>
      <c r="C174" s="365"/>
      <c r="D174" s="365"/>
      <c r="E174" s="365"/>
      <c r="F174" s="365"/>
      <c r="G174" s="365"/>
      <c r="H174" s="365"/>
      <c r="I174" s="365"/>
      <c r="J174" s="365"/>
      <c r="K174" s="365"/>
      <c r="L174" s="365"/>
      <c r="M174" s="365"/>
      <c r="N174" s="365"/>
      <c r="O174" s="365"/>
      <c r="P174" s="365"/>
      <c r="Q174" s="365"/>
      <c r="R174" s="365"/>
      <c r="S174" s="365"/>
      <c r="T174" s="365"/>
      <c r="U174" s="365"/>
      <c r="V174" s="365"/>
      <c r="W174" s="365"/>
      <c r="X174" s="365"/>
      <c r="Y174" s="365"/>
      <c r="Z174" s="365"/>
      <c r="AA174" s="365"/>
      <c r="AB174" s="365"/>
      <c r="AC174" s="365"/>
      <c r="AD174" s="365"/>
    </row>
    <row r="175" spans="1:30" s="352" customFormat="1">
      <c r="A175" s="364"/>
      <c r="B175" s="364"/>
      <c r="C175" s="365"/>
      <c r="D175" s="365"/>
      <c r="E175" s="365"/>
      <c r="F175" s="365"/>
      <c r="G175" s="365"/>
      <c r="H175" s="365"/>
      <c r="I175" s="365"/>
      <c r="J175" s="365"/>
      <c r="K175" s="365"/>
      <c r="L175" s="365"/>
      <c r="M175" s="365"/>
      <c r="N175" s="365"/>
      <c r="O175" s="365"/>
      <c r="P175" s="365"/>
      <c r="Q175" s="365"/>
      <c r="R175" s="365"/>
      <c r="S175" s="365"/>
      <c r="T175" s="365"/>
      <c r="U175" s="365"/>
      <c r="V175" s="365"/>
      <c r="W175" s="365"/>
      <c r="X175" s="365"/>
      <c r="Y175" s="365"/>
      <c r="Z175" s="365"/>
      <c r="AA175" s="365"/>
      <c r="AB175" s="365"/>
      <c r="AC175" s="365"/>
      <c r="AD175" s="365"/>
    </row>
    <row r="176" spans="1:30" s="352" customFormat="1">
      <c r="A176" s="364"/>
      <c r="B176" s="364"/>
      <c r="C176" s="365"/>
      <c r="D176" s="365"/>
      <c r="E176" s="365"/>
      <c r="F176" s="365"/>
      <c r="G176" s="365"/>
      <c r="H176" s="365"/>
      <c r="I176" s="365"/>
      <c r="J176" s="365"/>
      <c r="K176" s="365"/>
      <c r="L176" s="365"/>
      <c r="M176" s="365"/>
      <c r="N176" s="365"/>
      <c r="O176" s="365"/>
      <c r="P176" s="365"/>
      <c r="Q176" s="365"/>
      <c r="R176" s="365"/>
      <c r="S176" s="365"/>
      <c r="T176" s="365"/>
      <c r="U176" s="365"/>
      <c r="V176" s="365"/>
      <c r="W176" s="365"/>
      <c r="X176" s="365"/>
      <c r="Y176" s="365"/>
      <c r="Z176" s="365"/>
      <c r="AA176" s="365"/>
      <c r="AB176" s="365"/>
      <c r="AC176" s="365"/>
      <c r="AD176" s="365"/>
    </row>
    <row r="177" spans="1:30" s="352" customFormat="1">
      <c r="A177" s="364"/>
      <c r="B177" s="364"/>
      <c r="C177" s="365"/>
      <c r="D177" s="365"/>
      <c r="E177" s="365"/>
      <c r="F177" s="365"/>
      <c r="G177" s="365"/>
      <c r="H177" s="365"/>
      <c r="I177" s="365"/>
      <c r="J177" s="365"/>
      <c r="K177" s="365"/>
      <c r="L177" s="365"/>
      <c r="M177" s="365"/>
      <c r="N177" s="365"/>
      <c r="O177" s="365"/>
      <c r="P177" s="365"/>
      <c r="Q177" s="365"/>
      <c r="R177" s="365"/>
      <c r="S177" s="365"/>
      <c r="T177" s="365"/>
      <c r="U177" s="365"/>
      <c r="V177" s="365"/>
      <c r="W177" s="365"/>
      <c r="X177" s="365"/>
      <c r="Y177" s="365"/>
      <c r="Z177" s="365"/>
      <c r="AA177" s="365"/>
      <c r="AB177" s="365"/>
      <c r="AC177" s="365"/>
      <c r="AD177" s="365"/>
    </row>
    <row r="178" spans="1:30" s="352" customFormat="1">
      <c r="A178" s="364"/>
      <c r="B178" s="364"/>
      <c r="C178" s="365"/>
      <c r="D178" s="365"/>
      <c r="E178" s="365"/>
      <c r="F178" s="365"/>
      <c r="G178" s="365"/>
      <c r="H178" s="365"/>
      <c r="I178" s="365"/>
      <c r="J178" s="365"/>
      <c r="K178" s="365"/>
      <c r="L178" s="365"/>
      <c r="M178" s="365"/>
      <c r="N178" s="365"/>
      <c r="O178" s="365"/>
      <c r="P178" s="365"/>
      <c r="Q178" s="365"/>
      <c r="R178" s="365"/>
      <c r="S178" s="365"/>
      <c r="T178" s="365"/>
      <c r="U178" s="365"/>
      <c r="V178" s="365"/>
      <c r="W178" s="365"/>
      <c r="X178" s="365"/>
      <c r="Y178" s="365"/>
      <c r="Z178" s="365"/>
      <c r="AA178" s="365"/>
      <c r="AB178" s="365"/>
      <c r="AC178" s="365"/>
      <c r="AD178" s="365"/>
    </row>
    <row r="179" spans="1:30" s="352" customFormat="1">
      <c r="A179" s="364"/>
      <c r="B179" s="364"/>
      <c r="C179" s="365"/>
      <c r="D179" s="365"/>
      <c r="E179" s="365"/>
      <c r="F179" s="365"/>
      <c r="G179" s="365"/>
      <c r="H179" s="365"/>
      <c r="I179" s="365"/>
      <c r="J179" s="365"/>
      <c r="K179" s="365"/>
      <c r="L179" s="365"/>
      <c r="M179" s="365"/>
      <c r="N179" s="365"/>
      <c r="O179" s="365"/>
      <c r="P179" s="365"/>
      <c r="Q179" s="365"/>
      <c r="R179" s="365"/>
      <c r="S179" s="365"/>
      <c r="T179" s="365"/>
      <c r="U179" s="365"/>
      <c r="V179" s="365"/>
      <c r="W179" s="365"/>
      <c r="X179" s="365"/>
      <c r="Y179" s="365"/>
      <c r="Z179" s="365"/>
      <c r="AA179" s="365"/>
      <c r="AB179" s="365"/>
      <c r="AC179" s="365"/>
      <c r="AD179" s="365"/>
    </row>
    <row r="180" spans="1:30" s="352" customFormat="1">
      <c r="A180" s="364"/>
      <c r="B180" s="364"/>
      <c r="C180" s="365"/>
      <c r="D180" s="365"/>
      <c r="E180" s="365"/>
      <c r="F180" s="365"/>
      <c r="G180" s="365"/>
      <c r="H180" s="365"/>
      <c r="I180" s="365"/>
      <c r="J180" s="365"/>
      <c r="K180" s="365"/>
      <c r="L180" s="365"/>
      <c r="M180" s="365"/>
      <c r="N180" s="365"/>
      <c r="O180" s="365"/>
      <c r="P180" s="365"/>
      <c r="Q180" s="365"/>
      <c r="R180" s="365"/>
      <c r="S180" s="365"/>
      <c r="T180" s="365"/>
      <c r="U180" s="365"/>
      <c r="V180" s="365"/>
      <c r="W180" s="365"/>
      <c r="X180" s="365"/>
      <c r="Y180" s="365"/>
      <c r="Z180" s="365"/>
      <c r="AA180" s="365"/>
      <c r="AB180" s="365"/>
      <c r="AC180" s="365"/>
      <c r="AD180" s="365"/>
    </row>
    <row r="181" spans="1:30" s="352" customFormat="1">
      <c r="A181" s="364"/>
      <c r="B181" s="364"/>
      <c r="C181" s="365"/>
      <c r="D181" s="365"/>
      <c r="E181" s="365"/>
      <c r="F181" s="365"/>
      <c r="G181" s="365"/>
      <c r="H181" s="365"/>
      <c r="I181" s="365"/>
      <c r="J181" s="365"/>
      <c r="K181" s="365"/>
      <c r="L181" s="365"/>
      <c r="M181" s="365"/>
      <c r="N181" s="365"/>
      <c r="O181" s="365"/>
      <c r="P181" s="365"/>
      <c r="Q181" s="365"/>
      <c r="R181" s="365"/>
      <c r="S181" s="365"/>
      <c r="T181" s="365"/>
      <c r="U181" s="365"/>
      <c r="V181" s="365"/>
      <c r="W181" s="365"/>
      <c r="X181" s="365"/>
      <c r="Y181" s="365"/>
      <c r="Z181" s="365"/>
      <c r="AA181" s="365"/>
      <c r="AB181" s="365"/>
      <c r="AC181" s="365"/>
      <c r="AD181" s="365"/>
    </row>
    <row r="182" spans="1:30" s="352" customFormat="1">
      <c r="A182" s="364"/>
      <c r="B182" s="364"/>
      <c r="C182" s="365"/>
      <c r="D182" s="365"/>
      <c r="E182" s="365"/>
      <c r="F182" s="365"/>
      <c r="G182" s="365"/>
      <c r="H182" s="365"/>
      <c r="I182" s="365"/>
      <c r="J182" s="365"/>
      <c r="K182" s="365"/>
      <c r="L182" s="365"/>
      <c r="M182" s="365"/>
      <c r="N182" s="365"/>
      <c r="O182" s="365"/>
      <c r="P182" s="365"/>
      <c r="Q182" s="365"/>
      <c r="R182" s="365"/>
      <c r="S182" s="365"/>
      <c r="T182" s="365"/>
      <c r="U182" s="365"/>
      <c r="V182" s="365"/>
      <c r="W182" s="365"/>
      <c r="X182" s="365"/>
      <c r="Y182" s="365"/>
      <c r="Z182" s="365"/>
      <c r="AA182" s="365"/>
      <c r="AB182" s="365"/>
      <c r="AC182" s="365"/>
      <c r="AD182" s="365"/>
    </row>
    <row r="183" spans="1:30" s="352" customFormat="1">
      <c r="A183" s="364"/>
      <c r="B183" s="364"/>
      <c r="C183" s="365"/>
      <c r="D183" s="365"/>
      <c r="E183" s="365"/>
      <c r="F183" s="365"/>
      <c r="G183" s="365"/>
      <c r="H183" s="365"/>
      <c r="I183" s="365"/>
      <c r="J183" s="365"/>
      <c r="K183" s="365"/>
      <c r="L183" s="365"/>
      <c r="M183" s="365"/>
      <c r="N183" s="365"/>
      <c r="O183" s="365"/>
      <c r="P183" s="365"/>
      <c r="Q183" s="365"/>
      <c r="R183" s="365"/>
      <c r="S183" s="365"/>
      <c r="T183" s="365"/>
      <c r="U183" s="365"/>
      <c r="V183" s="365"/>
      <c r="W183" s="365"/>
      <c r="X183" s="365"/>
      <c r="Y183" s="365"/>
      <c r="Z183" s="365"/>
      <c r="AA183" s="365"/>
      <c r="AB183" s="365"/>
      <c r="AC183" s="365"/>
      <c r="AD183" s="365"/>
    </row>
    <row r="184" spans="1:30" s="352" customFormat="1">
      <c r="A184" s="364"/>
      <c r="B184" s="364"/>
      <c r="C184" s="365"/>
      <c r="D184" s="365"/>
      <c r="E184" s="365"/>
      <c r="F184" s="365"/>
      <c r="G184" s="365"/>
      <c r="H184" s="365"/>
      <c r="I184" s="365"/>
      <c r="J184" s="365"/>
      <c r="K184" s="365"/>
      <c r="L184" s="365"/>
      <c r="M184" s="365"/>
      <c r="N184" s="365"/>
      <c r="O184" s="365"/>
      <c r="P184" s="365"/>
      <c r="Q184" s="365"/>
      <c r="R184" s="365"/>
      <c r="S184" s="365"/>
      <c r="T184" s="365"/>
      <c r="U184" s="365"/>
      <c r="V184" s="365"/>
      <c r="W184" s="365"/>
      <c r="X184" s="365"/>
      <c r="Y184" s="365"/>
      <c r="Z184" s="365"/>
      <c r="AA184" s="365"/>
      <c r="AB184" s="365"/>
      <c r="AC184" s="365"/>
      <c r="AD184" s="365"/>
    </row>
    <row r="185" spans="1:30" s="352" customFormat="1">
      <c r="A185" s="364"/>
      <c r="B185" s="364"/>
      <c r="C185" s="365"/>
      <c r="D185" s="365"/>
      <c r="E185" s="365"/>
      <c r="F185" s="365"/>
      <c r="G185" s="365"/>
      <c r="H185" s="365"/>
      <c r="I185" s="365"/>
      <c r="J185" s="365"/>
      <c r="K185" s="365"/>
      <c r="L185" s="365"/>
      <c r="M185" s="365"/>
      <c r="N185" s="365"/>
      <c r="O185" s="365"/>
      <c r="P185" s="365"/>
      <c r="Q185" s="365"/>
      <c r="R185" s="365"/>
      <c r="S185" s="365"/>
      <c r="T185" s="365"/>
      <c r="U185" s="365"/>
      <c r="V185" s="365"/>
      <c r="W185" s="365"/>
      <c r="X185" s="365"/>
      <c r="Y185" s="365"/>
      <c r="Z185" s="365"/>
      <c r="AA185" s="365"/>
      <c r="AB185" s="365"/>
      <c r="AC185" s="365"/>
      <c r="AD185" s="365"/>
    </row>
    <row r="186" spans="1:30" s="352" customFormat="1">
      <c r="A186" s="364"/>
      <c r="B186" s="364"/>
      <c r="C186" s="365"/>
      <c r="D186" s="365"/>
      <c r="E186" s="365"/>
      <c r="F186" s="365"/>
      <c r="G186" s="365"/>
      <c r="H186" s="365"/>
      <c r="I186" s="365"/>
      <c r="J186" s="365"/>
      <c r="K186" s="365"/>
      <c r="L186" s="365"/>
      <c r="M186" s="365"/>
      <c r="N186" s="365"/>
      <c r="O186" s="365"/>
      <c r="P186" s="365"/>
      <c r="Q186" s="365"/>
      <c r="R186" s="365"/>
      <c r="S186" s="365"/>
      <c r="T186" s="365"/>
      <c r="U186" s="365"/>
      <c r="V186" s="365"/>
      <c r="W186" s="365"/>
      <c r="X186" s="365"/>
      <c r="Y186" s="365"/>
      <c r="Z186" s="365"/>
      <c r="AA186" s="365"/>
      <c r="AB186" s="365"/>
      <c r="AC186" s="365"/>
      <c r="AD186" s="365"/>
    </row>
    <row r="187" spans="1:30" s="352" customFormat="1">
      <c r="A187" s="364"/>
      <c r="B187" s="364"/>
      <c r="C187" s="365"/>
      <c r="D187" s="365"/>
      <c r="E187" s="365"/>
      <c r="F187" s="365"/>
      <c r="G187" s="365"/>
      <c r="H187" s="365"/>
      <c r="I187" s="365"/>
      <c r="J187" s="365"/>
      <c r="K187" s="365"/>
      <c r="L187" s="365"/>
      <c r="M187" s="365"/>
      <c r="N187" s="365"/>
      <c r="O187" s="365"/>
      <c r="P187" s="365"/>
      <c r="Q187" s="365"/>
      <c r="R187" s="365"/>
      <c r="S187" s="365"/>
      <c r="T187" s="365"/>
      <c r="U187" s="365"/>
      <c r="V187" s="365"/>
      <c r="W187" s="365"/>
      <c r="X187" s="365"/>
      <c r="Y187" s="365"/>
      <c r="Z187" s="365"/>
      <c r="AA187" s="365"/>
      <c r="AB187" s="365"/>
      <c r="AC187" s="365"/>
      <c r="AD187" s="365"/>
    </row>
    <row r="188" spans="1:30" s="352" customFormat="1">
      <c r="A188" s="364"/>
      <c r="B188" s="364"/>
      <c r="C188" s="365"/>
      <c r="D188" s="365"/>
      <c r="E188" s="365"/>
      <c r="F188" s="365"/>
      <c r="G188" s="365"/>
      <c r="H188" s="365"/>
      <c r="I188" s="365"/>
      <c r="J188" s="365"/>
      <c r="K188" s="365"/>
      <c r="L188" s="365"/>
      <c r="M188" s="365"/>
      <c r="N188" s="365"/>
      <c r="O188" s="365"/>
      <c r="P188" s="365"/>
      <c r="Q188" s="365"/>
      <c r="R188" s="365"/>
      <c r="S188" s="365"/>
      <c r="T188" s="365"/>
      <c r="U188" s="365"/>
      <c r="V188" s="365"/>
      <c r="W188" s="365"/>
      <c r="X188" s="365"/>
      <c r="Y188" s="365"/>
      <c r="Z188" s="365"/>
      <c r="AA188" s="365"/>
      <c r="AB188" s="365"/>
      <c r="AC188" s="365"/>
      <c r="AD188" s="365"/>
    </row>
    <row r="189" spans="1:30" s="352" customFormat="1">
      <c r="A189" s="364"/>
      <c r="B189" s="364"/>
      <c r="C189" s="365"/>
      <c r="D189" s="365"/>
      <c r="E189" s="365"/>
      <c r="F189" s="365"/>
      <c r="G189" s="365"/>
      <c r="H189" s="365"/>
      <c r="I189" s="365"/>
      <c r="J189" s="365"/>
      <c r="K189" s="365"/>
      <c r="L189" s="365"/>
      <c r="M189" s="365"/>
      <c r="N189" s="365"/>
      <c r="O189" s="365"/>
      <c r="P189" s="365"/>
      <c r="Q189" s="365"/>
      <c r="R189" s="365"/>
      <c r="S189" s="365"/>
      <c r="T189" s="365"/>
      <c r="U189" s="365"/>
      <c r="V189" s="365"/>
      <c r="W189" s="365"/>
      <c r="X189" s="365"/>
      <c r="Y189" s="365"/>
      <c r="Z189" s="365"/>
      <c r="AA189" s="365"/>
      <c r="AB189" s="365"/>
      <c r="AC189" s="365"/>
      <c r="AD189" s="365"/>
    </row>
    <row r="190" spans="1:30" s="352" customFormat="1">
      <c r="A190" s="364"/>
      <c r="B190" s="364"/>
      <c r="C190" s="365"/>
      <c r="D190" s="365"/>
      <c r="E190" s="365"/>
      <c r="F190" s="365"/>
      <c r="G190" s="365"/>
      <c r="H190" s="365"/>
      <c r="I190" s="365"/>
      <c r="J190" s="365"/>
      <c r="K190" s="365"/>
      <c r="L190" s="365"/>
      <c r="M190" s="365"/>
      <c r="N190" s="365"/>
      <c r="O190" s="365"/>
      <c r="P190" s="365"/>
      <c r="Q190" s="365"/>
      <c r="R190" s="365"/>
      <c r="S190" s="365"/>
      <c r="T190" s="365"/>
      <c r="U190" s="365"/>
      <c r="V190" s="365"/>
      <c r="W190" s="365"/>
      <c r="X190" s="365"/>
      <c r="Y190" s="365"/>
      <c r="Z190" s="365"/>
      <c r="AA190" s="365"/>
      <c r="AB190" s="365"/>
      <c r="AC190" s="365"/>
      <c r="AD190" s="365"/>
    </row>
    <row r="191" spans="1:30" s="352" customFormat="1">
      <c r="A191" s="364"/>
      <c r="B191" s="364"/>
      <c r="C191" s="365"/>
      <c r="D191" s="365"/>
      <c r="E191" s="365"/>
      <c r="F191" s="365"/>
      <c r="G191" s="365"/>
      <c r="H191" s="365"/>
      <c r="I191" s="365"/>
      <c r="J191" s="365"/>
      <c r="K191" s="365"/>
      <c r="L191" s="365"/>
      <c r="M191" s="365"/>
      <c r="N191" s="365"/>
      <c r="O191" s="365"/>
      <c r="P191" s="365"/>
      <c r="Q191" s="365"/>
      <c r="R191" s="365"/>
      <c r="S191" s="365"/>
      <c r="T191" s="365"/>
      <c r="U191" s="365"/>
      <c r="V191" s="365"/>
      <c r="W191" s="365"/>
      <c r="X191" s="365"/>
      <c r="Y191" s="365"/>
      <c r="Z191" s="365"/>
      <c r="AA191" s="365"/>
      <c r="AB191" s="365"/>
      <c r="AC191" s="365"/>
      <c r="AD191" s="365"/>
    </row>
    <row r="192" spans="1:30" s="352" customFormat="1">
      <c r="A192" s="364"/>
      <c r="B192" s="364"/>
      <c r="C192" s="365"/>
      <c r="D192" s="365"/>
      <c r="E192" s="365"/>
      <c r="F192" s="365"/>
      <c r="G192" s="365"/>
      <c r="H192" s="365"/>
      <c r="I192" s="365"/>
      <c r="J192" s="365"/>
      <c r="K192" s="365"/>
      <c r="L192" s="365"/>
      <c r="M192" s="365"/>
      <c r="N192" s="365"/>
      <c r="O192" s="365"/>
      <c r="P192" s="365"/>
      <c r="Q192" s="365"/>
      <c r="R192" s="365"/>
      <c r="S192" s="365"/>
      <c r="T192" s="365"/>
      <c r="U192" s="365"/>
      <c r="V192" s="365"/>
      <c r="W192" s="365"/>
      <c r="X192" s="365"/>
      <c r="Y192" s="365"/>
      <c r="Z192" s="365"/>
      <c r="AA192" s="365"/>
      <c r="AB192" s="365"/>
      <c r="AC192" s="365"/>
      <c r="AD192" s="365"/>
    </row>
    <row r="193" spans="1:30" s="352" customFormat="1">
      <c r="A193" s="364"/>
      <c r="B193" s="364"/>
      <c r="C193" s="365"/>
      <c r="D193" s="365"/>
      <c r="E193" s="365"/>
      <c r="F193" s="365"/>
      <c r="G193" s="365"/>
      <c r="H193" s="365"/>
      <c r="I193" s="365"/>
      <c r="J193" s="365"/>
      <c r="K193" s="365"/>
      <c r="L193" s="365"/>
      <c r="M193" s="365"/>
      <c r="N193" s="365"/>
      <c r="O193" s="365"/>
      <c r="P193" s="365"/>
      <c r="Q193" s="365"/>
      <c r="R193" s="365"/>
      <c r="S193" s="365"/>
      <c r="T193" s="365"/>
      <c r="U193" s="365"/>
      <c r="V193" s="365"/>
      <c r="W193" s="365"/>
      <c r="X193" s="365"/>
      <c r="Y193" s="365"/>
      <c r="Z193" s="365"/>
      <c r="AA193" s="365"/>
      <c r="AB193" s="365"/>
      <c r="AC193" s="365"/>
      <c r="AD193" s="365"/>
    </row>
    <row r="194" spans="1:30" s="352" customFormat="1">
      <c r="A194" s="364"/>
      <c r="B194" s="364"/>
      <c r="C194" s="365"/>
      <c r="D194" s="365"/>
      <c r="E194" s="365"/>
      <c r="F194" s="365"/>
      <c r="G194" s="365"/>
      <c r="H194" s="365"/>
      <c r="I194" s="365"/>
      <c r="J194" s="365"/>
      <c r="K194" s="365"/>
      <c r="L194" s="365"/>
      <c r="M194" s="365"/>
      <c r="N194" s="365"/>
      <c r="O194" s="365"/>
      <c r="P194" s="365"/>
      <c r="Q194" s="365"/>
      <c r="R194" s="365"/>
      <c r="S194" s="365"/>
      <c r="T194" s="365"/>
      <c r="U194" s="365"/>
      <c r="V194" s="365"/>
      <c r="W194" s="365"/>
      <c r="X194" s="365"/>
      <c r="Y194" s="365"/>
      <c r="Z194" s="365"/>
      <c r="AA194" s="365"/>
      <c r="AB194" s="365"/>
      <c r="AC194" s="365"/>
      <c r="AD194" s="365"/>
    </row>
    <row r="195" spans="1:30" s="352" customFormat="1">
      <c r="A195" s="364"/>
      <c r="B195" s="364"/>
      <c r="C195" s="365"/>
      <c r="D195" s="365"/>
      <c r="E195" s="365"/>
      <c r="F195" s="365"/>
      <c r="G195" s="365"/>
      <c r="H195" s="365"/>
      <c r="I195" s="365"/>
      <c r="J195" s="365"/>
      <c r="K195" s="365"/>
      <c r="L195" s="365"/>
      <c r="M195" s="365"/>
      <c r="N195" s="365"/>
      <c r="O195" s="365"/>
      <c r="P195" s="365"/>
      <c r="Q195" s="365"/>
      <c r="R195" s="365"/>
      <c r="S195" s="365"/>
      <c r="T195" s="365"/>
      <c r="U195" s="365"/>
      <c r="V195" s="365"/>
      <c r="W195" s="365"/>
      <c r="X195" s="365"/>
      <c r="Y195" s="365"/>
      <c r="Z195" s="365"/>
      <c r="AA195" s="365"/>
      <c r="AB195" s="365"/>
      <c r="AC195" s="365"/>
      <c r="AD195" s="365"/>
    </row>
    <row r="196" spans="1:30" s="352" customFormat="1">
      <c r="A196" s="364"/>
      <c r="B196" s="364"/>
      <c r="C196" s="365"/>
      <c r="D196" s="365"/>
      <c r="E196" s="365"/>
      <c r="F196" s="365"/>
      <c r="G196" s="365"/>
      <c r="H196" s="365"/>
      <c r="I196" s="365"/>
      <c r="J196" s="365"/>
      <c r="K196" s="365"/>
      <c r="L196" s="365"/>
      <c r="M196" s="365"/>
      <c r="N196" s="365"/>
      <c r="O196" s="365"/>
      <c r="P196" s="365"/>
      <c r="Q196" s="365"/>
      <c r="R196" s="365"/>
      <c r="S196" s="365"/>
      <c r="T196" s="365"/>
      <c r="U196" s="365"/>
      <c r="V196" s="365"/>
      <c r="W196" s="365"/>
      <c r="X196" s="365"/>
      <c r="Y196" s="365"/>
      <c r="Z196" s="365"/>
      <c r="AA196" s="365"/>
      <c r="AB196" s="365"/>
      <c r="AC196" s="365"/>
      <c r="AD196" s="365"/>
    </row>
    <row r="197" spans="1:30" s="352" customFormat="1">
      <c r="A197" s="364"/>
      <c r="B197" s="364"/>
      <c r="C197" s="365"/>
      <c r="D197" s="365"/>
      <c r="E197" s="365"/>
      <c r="F197" s="365"/>
      <c r="G197" s="365"/>
      <c r="H197" s="365"/>
      <c r="I197" s="365"/>
      <c r="J197" s="365"/>
      <c r="K197" s="365"/>
      <c r="L197" s="365"/>
      <c r="M197" s="365"/>
      <c r="N197" s="365"/>
      <c r="O197" s="365"/>
      <c r="P197" s="365"/>
      <c r="Q197" s="365"/>
      <c r="R197" s="365"/>
      <c r="S197" s="365"/>
      <c r="T197" s="365"/>
      <c r="U197" s="365"/>
      <c r="V197" s="365"/>
      <c r="W197" s="365"/>
      <c r="X197" s="365"/>
      <c r="Y197" s="365"/>
      <c r="Z197" s="365"/>
      <c r="AA197" s="365"/>
      <c r="AB197" s="365"/>
      <c r="AC197" s="365"/>
      <c r="AD197" s="365"/>
    </row>
    <row r="198" spans="1:30" s="352" customFormat="1">
      <c r="A198" s="364"/>
      <c r="B198" s="364"/>
      <c r="C198" s="365"/>
      <c r="D198" s="365"/>
      <c r="E198" s="365"/>
      <c r="F198" s="365"/>
      <c r="G198" s="365"/>
      <c r="H198" s="365"/>
      <c r="I198" s="365"/>
      <c r="J198" s="365"/>
      <c r="K198" s="365"/>
      <c r="L198" s="365"/>
      <c r="M198" s="365"/>
      <c r="N198" s="365"/>
      <c r="O198" s="365"/>
      <c r="P198" s="365"/>
      <c r="Q198" s="365"/>
      <c r="R198" s="365"/>
      <c r="S198" s="365"/>
      <c r="T198" s="365"/>
      <c r="U198" s="365"/>
      <c r="V198" s="365"/>
      <c r="W198" s="365"/>
      <c r="X198" s="365"/>
      <c r="Y198" s="365"/>
      <c r="Z198" s="365"/>
      <c r="AA198" s="365"/>
      <c r="AB198" s="365"/>
      <c r="AC198" s="365"/>
      <c r="AD198" s="365"/>
    </row>
    <row r="199" spans="1:30" s="352" customFormat="1">
      <c r="A199" s="364"/>
      <c r="B199" s="364"/>
      <c r="C199" s="365"/>
      <c r="D199" s="365"/>
      <c r="E199" s="365"/>
      <c r="F199" s="365"/>
      <c r="G199" s="365"/>
      <c r="H199" s="365"/>
      <c r="I199" s="365"/>
      <c r="J199" s="365"/>
      <c r="K199" s="365"/>
      <c r="L199" s="365"/>
      <c r="M199" s="365"/>
      <c r="N199" s="365"/>
      <c r="O199" s="365"/>
      <c r="P199" s="365"/>
      <c r="Q199" s="365"/>
      <c r="R199" s="365"/>
      <c r="S199" s="365"/>
      <c r="T199" s="365"/>
      <c r="U199" s="365"/>
      <c r="V199" s="365"/>
      <c r="W199" s="365"/>
      <c r="X199" s="365"/>
      <c r="Y199" s="365"/>
      <c r="Z199" s="365"/>
      <c r="AA199" s="365"/>
      <c r="AB199" s="365"/>
      <c r="AC199" s="365"/>
      <c r="AD199" s="365"/>
    </row>
    <row r="200" spans="1:30" s="352" customFormat="1">
      <c r="A200" s="364"/>
      <c r="B200" s="364"/>
      <c r="C200" s="365"/>
      <c r="D200" s="365"/>
      <c r="E200" s="365"/>
      <c r="F200" s="365"/>
      <c r="G200" s="365"/>
      <c r="H200" s="365"/>
      <c r="I200" s="365"/>
      <c r="J200" s="365"/>
      <c r="K200" s="365"/>
      <c r="L200" s="365"/>
      <c r="M200" s="365"/>
      <c r="N200" s="365"/>
      <c r="O200" s="365"/>
      <c r="P200" s="365"/>
      <c r="Q200" s="365"/>
      <c r="R200" s="365"/>
      <c r="S200" s="365"/>
      <c r="T200" s="365"/>
      <c r="U200" s="365"/>
      <c r="V200" s="365"/>
      <c r="W200" s="365"/>
      <c r="X200" s="365"/>
      <c r="Y200" s="365"/>
      <c r="Z200" s="365"/>
      <c r="AA200" s="365"/>
      <c r="AB200" s="365"/>
      <c r="AC200" s="365"/>
      <c r="AD200" s="365"/>
    </row>
    <row r="201" spans="1:30" s="352" customFormat="1">
      <c r="A201" s="364"/>
      <c r="B201" s="364"/>
      <c r="C201" s="365"/>
      <c r="D201" s="365"/>
      <c r="E201" s="365"/>
      <c r="F201" s="365"/>
      <c r="G201" s="365"/>
      <c r="H201" s="365"/>
      <c r="I201" s="365"/>
      <c r="J201" s="365"/>
      <c r="K201" s="365"/>
      <c r="L201" s="365"/>
      <c r="M201" s="365"/>
      <c r="N201" s="365"/>
      <c r="O201" s="365"/>
      <c r="P201" s="365"/>
      <c r="Q201" s="365"/>
      <c r="R201" s="365"/>
      <c r="S201" s="365"/>
      <c r="T201" s="365"/>
      <c r="U201" s="365"/>
      <c r="V201" s="365"/>
      <c r="W201" s="365"/>
      <c r="X201" s="365"/>
      <c r="Y201" s="365"/>
      <c r="Z201" s="365"/>
      <c r="AA201" s="365"/>
      <c r="AB201" s="365"/>
      <c r="AC201" s="365"/>
      <c r="AD201" s="365"/>
    </row>
    <row r="202" spans="1:30" s="352" customFormat="1">
      <c r="A202" s="364"/>
      <c r="B202" s="364"/>
      <c r="C202" s="365"/>
      <c r="D202" s="365"/>
      <c r="E202" s="365"/>
      <c r="F202" s="365"/>
      <c r="G202" s="365"/>
      <c r="H202" s="365"/>
      <c r="I202" s="365"/>
      <c r="J202" s="365"/>
      <c r="K202" s="365"/>
      <c r="L202" s="365"/>
      <c r="M202" s="365"/>
      <c r="N202" s="365"/>
      <c r="O202" s="365"/>
      <c r="P202" s="365"/>
      <c r="Q202" s="365"/>
      <c r="R202" s="365"/>
      <c r="S202" s="365"/>
      <c r="T202" s="365"/>
      <c r="U202" s="365"/>
      <c r="V202" s="365"/>
      <c r="W202" s="365"/>
      <c r="X202" s="365"/>
      <c r="Y202" s="365"/>
      <c r="Z202" s="365"/>
      <c r="AA202" s="365"/>
      <c r="AB202" s="365"/>
      <c r="AC202" s="365"/>
      <c r="AD202" s="365"/>
    </row>
    <row r="203" spans="1:30" s="352" customFormat="1">
      <c r="A203" s="364"/>
      <c r="B203" s="364"/>
      <c r="C203" s="365"/>
      <c r="D203" s="365"/>
      <c r="E203" s="365"/>
      <c r="F203" s="365"/>
      <c r="G203" s="365"/>
      <c r="H203" s="365"/>
      <c r="I203" s="365"/>
      <c r="J203" s="365"/>
      <c r="K203" s="365"/>
      <c r="L203" s="365"/>
      <c r="M203" s="365"/>
      <c r="N203" s="365"/>
      <c r="O203" s="365"/>
      <c r="P203" s="365"/>
      <c r="Q203" s="365"/>
      <c r="R203" s="365"/>
      <c r="S203" s="365"/>
      <c r="T203" s="365"/>
      <c r="U203" s="365"/>
      <c r="V203" s="365"/>
      <c r="W203" s="365"/>
      <c r="X203" s="365"/>
      <c r="Y203" s="365"/>
      <c r="Z203" s="365"/>
      <c r="AA203" s="365"/>
      <c r="AB203" s="365"/>
      <c r="AC203" s="365"/>
      <c r="AD203" s="365"/>
    </row>
    <row r="204" spans="1:30" s="352" customFormat="1">
      <c r="A204" s="364"/>
      <c r="B204" s="364"/>
      <c r="C204" s="365"/>
      <c r="D204" s="365"/>
      <c r="E204" s="365"/>
      <c r="F204" s="365"/>
      <c r="G204" s="365"/>
      <c r="H204" s="365"/>
      <c r="I204" s="365"/>
      <c r="J204" s="365"/>
      <c r="K204" s="365"/>
      <c r="L204" s="365"/>
      <c r="M204" s="365"/>
      <c r="N204" s="365"/>
      <c r="O204" s="365"/>
      <c r="P204" s="365"/>
      <c r="Q204" s="365"/>
      <c r="R204" s="365"/>
      <c r="S204" s="365"/>
      <c r="T204" s="365"/>
      <c r="U204" s="365"/>
      <c r="V204" s="365"/>
      <c r="W204" s="365"/>
      <c r="X204" s="365"/>
      <c r="Y204" s="365"/>
      <c r="Z204" s="365"/>
      <c r="AA204" s="365"/>
      <c r="AB204" s="365"/>
      <c r="AC204" s="365"/>
      <c r="AD204" s="365"/>
    </row>
    <row r="205" spans="1:30" s="352" customFormat="1">
      <c r="A205" s="364"/>
      <c r="B205" s="364"/>
      <c r="C205" s="365"/>
      <c r="D205" s="365"/>
      <c r="E205" s="365"/>
      <c r="F205" s="365"/>
      <c r="G205" s="365"/>
      <c r="H205" s="365"/>
      <c r="I205" s="365"/>
      <c r="J205" s="365"/>
      <c r="K205" s="365"/>
      <c r="L205" s="365"/>
      <c r="M205" s="365"/>
      <c r="N205" s="365"/>
      <c r="O205" s="365"/>
      <c r="P205" s="365"/>
      <c r="Q205" s="365"/>
      <c r="R205" s="365"/>
      <c r="S205" s="365"/>
      <c r="T205" s="365"/>
      <c r="U205" s="365"/>
      <c r="V205" s="365"/>
      <c r="W205" s="365"/>
      <c r="X205" s="365"/>
      <c r="Y205" s="365"/>
      <c r="Z205" s="365"/>
      <c r="AA205" s="365"/>
      <c r="AB205" s="365"/>
      <c r="AC205" s="365"/>
      <c r="AD205" s="365"/>
    </row>
    <row r="206" spans="1:30" s="352" customFormat="1">
      <c r="A206" s="364"/>
      <c r="B206" s="364"/>
      <c r="C206" s="365"/>
      <c r="D206" s="365"/>
      <c r="E206" s="365"/>
      <c r="F206" s="365"/>
      <c r="G206" s="365"/>
      <c r="H206" s="365"/>
      <c r="I206" s="365"/>
      <c r="J206" s="365"/>
      <c r="K206" s="365"/>
      <c r="L206" s="365"/>
      <c r="M206" s="365"/>
      <c r="N206" s="365"/>
      <c r="O206" s="365"/>
      <c r="P206" s="365"/>
      <c r="Q206" s="365"/>
      <c r="R206" s="365"/>
      <c r="S206" s="365"/>
      <c r="T206" s="365"/>
      <c r="U206" s="365"/>
      <c r="V206" s="365"/>
      <c r="W206" s="365"/>
      <c r="X206" s="365"/>
      <c r="Y206" s="365"/>
      <c r="Z206" s="365"/>
      <c r="AA206" s="365"/>
      <c r="AB206" s="365"/>
      <c r="AC206" s="365"/>
      <c r="AD206" s="365"/>
    </row>
    <row r="207" spans="1:30" s="352" customFormat="1">
      <c r="A207" s="364"/>
      <c r="B207" s="364"/>
      <c r="C207" s="365"/>
      <c r="D207" s="365"/>
      <c r="E207" s="365"/>
      <c r="F207" s="365"/>
      <c r="G207" s="365"/>
      <c r="H207" s="365"/>
      <c r="I207" s="365"/>
      <c r="J207" s="365"/>
      <c r="K207" s="365"/>
      <c r="L207" s="365"/>
      <c r="M207" s="365"/>
      <c r="N207" s="365"/>
      <c r="O207" s="365"/>
      <c r="P207" s="365"/>
      <c r="Q207" s="365"/>
      <c r="R207" s="365"/>
      <c r="S207" s="365"/>
      <c r="T207" s="365"/>
      <c r="U207" s="365"/>
      <c r="V207" s="365"/>
      <c r="W207" s="365"/>
      <c r="X207" s="365"/>
      <c r="Y207" s="365"/>
      <c r="Z207" s="365"/>
      <c r="AA207" s="365"/>
      <c r="AB207" s="365"/>
      <c r="AC207" s="365"/>
      <c r="AD207" s="365"/>
    </row>
    <row r="208" spans="1:30" s="352" customFormat="1">
      <c r="A208" s="364"/>
      <c r="B208" s="364"/>
      <c r="C208" s="365"/>
      <c r="D208" s="365"/>
      <c r="E208" s="365"/>
      <c r="F208" s="365"/>
      <c r="G208" s="365"/>
      <c r="H208" s="365"/>
      <c r="I208" s="365"/>
      <c r="J208" s="365"/>
      <c r="K208" s="365"/>
      <c r="L208" s="365"/>
      <c r="M208" s="365"/>
      <c r="N208" s="365"/>
      <c r="O208" s="365"/>
      <c r="P208" s="365"/>
      <c r="Q208" s="365"/>
      <c r="R208" s="365"/>
      <c r="S208" s="365"/>
      <c r="T208" s="365"/>
      <c r="U208" s="365"/>
      <c r="V208" s="365"/>
      <c r="W208" s="365"/>
      <c r="X208" s="365"/>
      <c r="Y208" s="365"/>
      <c r="Z208" s="365"/>
      <c r="AA208" s="365"/>
      <c r="AB208" s="365"/>
      <c r="AC208" s="365"/>
      <c r="AD208" s="365"/>
    </row>
    <row r="209" spans="1:30" s="352" customFormat="1">
      <c r="A209" s="364"/>
      <c r="B209" s="364"/>
      <c r="C209" s="365"/>
      <c r="D209" s="365"/>
      <c r="E209" s="365"/>
      <c r="F209" s="365"/>
      <c r="G209" s="365"/>
      <c r="H209" s="365"/>
      <c r="I209" s="365"/>
      <c r="J209" s="365"/>
      <c r="K209" s="365"/>
      <c r="L209" s="365"/>
      <c r="M209" s="365"/>
      <c r="N209" s="365"/>
      <c r="O209" s="365"/>
      <c r="P209" s="365"/>
      <c r="Q209" s="365"/>
      <c r="R209" s="365"/>
      <c r="S209" s="365"/>
      <c r="T209" s="365"/>
      <c r="U209" s="365"/>
      <c r="V209" s="365"/>
      <c r="W209" s="365"/>
      <c r="X209" s="365"/>
      <c r="Y209" s="365"/>
      <c r="Z209" s="365"/>
      <c r="AA209" s="365"/>
      <c r="AB209" s="365"/>
      <c r="AC209" s="365"/>
      <c r="AD209" s="365"/>
    </row>
    <row r="210" spans="1:30" s="352" customFormat="1">
      <c r="A210" s="364"/>
      <c r="B210" s="364"/>
      <c r="C210" s="365"/>
      <c r="D210" s="365"/>
      <c r="E210" s="365"/>
      <c r="F210" s="365"/>
      <c r="G210" s="365"/>
      <c r="H210" s="365"/>
      <c r="I210" s="365"/>
      <c r="J210" s="365"/>
      <c r="K210" s="365"/>
      <c r="L210" s="365"/>
      <c r="M210" s="365"/>
      <c r="N210" s="365"/>
      <c r="O210" s="365"/>
      <c r="P210" s="365"/>
      <c r="Q210" s="365"/>
      <c r="R210" s="365"/>
      <c r="S210" s="365"/>
      <c r="T210" s="365"/>
      <c r="U210" s="365"/>
      <c r="V210" s="365"/>
      <c r="W210" s="365"/>
      <c r="X210" s="365"/>
      <c r="Y210" s="365"/>
      <c r="Z210" s="365"/>
      <c r="AA210" s="365"/>
      <c r="AB210" s="365"/>
      <c r="AC210" s="365"/>
      <c r="AD210" s="365"/>
    </row>
    <row r="211" spans="1:30" s="352" customFormat="1">
      <c r="A211" s="364"/>
      <c r="B211" s="364"/>
      <c r="C211" s="365"/>
      <c r="D211" s="365"/>
      <c r="E211" s="365"/>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c r="AC211" s="365"/>
      <c r="AD211" s="365"/>
    </row>
    <row r="212" spans="1:30" s="352" customFormat="1">
      <c r="A212" s="364"/>
      <c r="B212" s="364"/>
      <c r="C212" s="365"/>
      <c r="D212" s="365"/>
      <c r="E212" s="365"/>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c r="AC212" s="365"/>
      <c r="AD212" s="365"/>
    </row>
    <row r="213" spans="1:30" s="352" customFormat="1">
      <c r="A213" s="364"/>
      <c r="B213" s="364"/>
      <c r="C213" s="365"/>
      <c r="D213" s="365"/>
      <c r="E213" s="365"/>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c r="AC213" s="365"/>
      <c r="AD213" s="365"/>
    </row>
    <row r="214" spans="1:30" s="352" customFormat="1">
      <c r="A214" s="364"/>
      <c r="B214" s="364"/>
      <c r="C214" s="365"/>
      <c r="D214" s="365"/>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row>
    <row r="215" spans="1:30" s="352" customFormat="1">
      <c r="A215" s="364"/>
      <c r="B215" s="364"/>
      <c r="C215" s="365"/>
      <c r="D215" s="365"/>
      <c r="E215" s="365"/>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c r="AC215" s="365"/>
      <c r="AD215" s="365"/>
    </row>
    <row r="216" spans="1:30" s="352" customFormat="1">
      <c r="A216" s="364"/>
      <c r="B216" s="364"/>
      <c r="C216" s="365"/>
      <c r="D216" s="365"/>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c r="AC216" s="365"/>
      <c r="AD216" s="365"/>
    </row>
    <row r="217" spans="1:30" s="352" customFormat="1">
      <c r="A217" s="364"/>
      <c r="B217" s="364"/>
      <c r="C217" s="365"/>
      <c r="D217" s="365"/>
      <c r="E217" s="365"/>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c r="AC217" s="365"/>
      <c r="AD217" s="365"/>
    </row>
    <row r="218" spans="1:30" s="352" customFormat="1">
      <c r="A218" s="364"/>
      <c r="B218" s="364"/>
      <c r="C218" s="365"/>
      <c r="D218" s="365"/>
      <c r="E218" s="365"/>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c r="AC218" s="365"/>
      <c r="AD218" s="365"/>
    </row>
    <row r="219" spans="1:30" s="352" customFormat="1">
      <c r="A219" s="364"/>
      <c r="B219" s="364"/>
      <c r="C219" s="365"/>
      <c r="D219" s="365"/>
      <c r="E219" s="365"/>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c r="AC219" s="365"/>
      <c r="AD219" s="365"/>
    </row>
    <row r="220" spans="1:30" s="352" customFormat="1">
      <c r="A220" s="364"/>
      <c r="B220" s="364"/>
      <c r="C220" s="365"/>
      <c r="D220" s="365"/>
      <c r="E220" s="365"/>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c r="AC220" s="365"/>
      <c r="AD220" s="365"/>
    </row>
    <row r="221" spans="1:30" s="352" customFormat="1">
      <c r="A221" s="364"/>
      <c r="B221" s="364"/>
      <c r="C221" s="365"/>
      <c r="D221" s="365"/>
      <c r="E221" s="365"/>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c r="AC221" s="365"/>
      <c r="AD221" s="365"/>
    </row>
    <row r="222" spans="1:30" s="352" customFormat="1">
      <c r="A222" s="364"/>
      <c r="B222" s="364"/>
      <c r="C222" s="365"/>
      <c r="D222" s="365"/>
      <c r="E222" s="365"/>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c r="AC222" s="365"/>
      <c r="AD222" s="365"/>
    </row>
    <row r="223" spans="1:30" s="352" customFormat="1">
      <c r="A223" s="364"/>
      <c r="B223" s="364"/>
      <c r="C223" s="365"/>
      <c r="D223" s="365"/>
      <c r="E223" s="365"/>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c r="AC223" s="365"/>
      <c r="AD223" s="365"/>
    </row>
    <row r="224" spans="1:30" s="352" customFormat="1">
      <c r="A224" s="364"/>
      <c r="B224" s="364"/>
      <c r="C224" s="365"/>
      <c r="D224" s="365"/>
      <c r="E224" s="365"/>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c r="AC224" s="365"/>
      <c r="AD224" s="365"/>
    </row>
    <row r="225" spans="1:30" s="352" customFormat="1">
      <c r="A225" s="364"/>
      <c r="B225" s="364"/>
      <c r="C225" s="365"/>
      <c r="D225" s="365"/>
      <c r="E225" s="365"/>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c r="AC225" s="365"/>
      <c r="AD225" s="365"/>
    </row>
    <row r="226" spans="1:30" s="352" customFormat="1">
      <c r="A226" s="364"/>
      <c r="B226" s="364"/>
      <c r="C226" s="365"/>
      <c r="D226" s="365"/>
      <c r="E226" s="365"/>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c r="AC226" s="365"/>
      <c r="AD226" s="365"/>
    </row>
    <row r="227" spans="1:30" s="352" customFormat="1">
      <c r="A227" s="364"/>
      <c r="B227" s="364"/>
      <c r="C227" s="365"/>
      <c r="D227" s="365"/>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c r="AC227" s="365"/>
      <c r="AD227" s="365"/>
    </row>
    <row r="228" spans="1:30" s="352" customFormat="1">
      <c r="A228" s="364"/>
      <c r="B228" s="364"/>
      <c r="C228" s="365"/>
      <c r="D228" s="365"/>
      <c r="E228" s="365"/>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c r="AC228" s="365"/>
      <c r="AD228" s="365"/>
    </row>
    <row r="229" spans="1:30" s="352" customFormat="1">
      <c r="A229" s="364"/>
      <c r="B229" s="364"/>
      <c r="C229" s="365"/>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row>
    <row r="230" spans="1:30" s="352" customFormat="1">
      <c r="A230" s="364"/>
      <c r="B230" s="364"/>
      <c r="C230" s="365"/>
      <c r="D230" s="365"/>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row>
    <row r="231" spans="1:30" s="352" customFormat="1">
      <c r="A231" s="364"/>
      <c r="B231" s="364"/>
      <c r="C231" s="365"/>
      <c r="D231" s="365"/>
      <c r="E231" s="365"/>
      <c r="F231" s="365"/>
      <c r="G231" s="365"/>
      <c r="H231" s="365"/>
      <c r="I231" s="365"/>
      <c r="J231" s="365"/>
      <c r="K231" s="365"/>
      <c r="L231" s="365"/>
      <c r="M231" s="365"/>
      <c r="N231" s="365"/>
      <c r="O231" s="365"/>
      <c r="P231" s="365"/>
      <c r="Q231" s="365"/>
      <c r="R231" s="365"/>
      <c r="S231" s="365"/>
      <c r="T231" s="365"/>
      <c r="U231" s="365"/>
      <c r="V231" s="365"/>
      <c r="W231" s="365"/>
      <c r="X231" s="365"/>
      <c r="Y231" s="365"/>
      <c r="Z231" s="365"/>
      <c r="AA231" s="365"/>
      <c r="AB231" s="365"/>
      <c r="AC231" s="365"/>
      <c r="AD231" s="365"/>
    </row>
    <row r="232" spans="1:30" s="352" customFormat="1">
      <c r="A232" s="364"/>
      <c r="B232" s="364"/>
      <c r="C232" s="365"/>
      <c r="D232" s="365"/>
      <c r="E232" s="365"/>
      <c r="F232" s="365"/>
      <c r="G232" s="365"/>
      <c r="H232" s="365"/>
      <c r="I232" s="365"/>
      <c r="J232" s="365"/>
      <c r="K232" s="365"/>
      <c r="L232" s="365"/>
      <c r="M232" s="365"/>
      <c r="N232" s="365"/>
      <c r="O232" s="365"/>
      <c r="P232" s="365"/>
      <c r="Q232" s="365"/>
      <c r="R232" s="365"/>
      <c r="S232" s="365"/>
      <c r="T232" s="365"/>
      <c r="U232" s="365"/>
      <c r="V232" s="365"/>
      <c r="W232" s="365"/>
      <c r="X232" s="365"/>
      <c r="Y232" s="365"/>
      <c r="Z232" s="365"/>
      <c r="AA232" s="365"/>
      <c r="AB232" s="365"/>
      <c r="AC232" s="365"/>
      <c r="AD232" s="365"/>
    </row>
    <row r="233" spans="1:30" s="352" customFormat="1">
      <c r="A233" s="364"/>
      <c r="B233" s="364"/>
      <c r="C233" s="365"/>
      <c r="D233" s="365"/>
      <c r="E233" s="365"/>
      <c r="F233" s="365"/>
      <c r="G233" s="365"/>
      <c r="H233" s="365"/>
      <c r="I233" s="365"/>
      <c r="J233" s="365"/>
      <c r="K233" s="365"/>
      <c r="L233" s="365"/>
      <c r="M233" s="365"/>
      <c r="N233" s="365"/>
      <c r="O233" s="365"/>
      <c r="P233" s="365"/>
      <c r="Q233" s="365"/>
      <c r="R233" s="365"/>
      <c r="S233" s="365"/>
      <c r="T233" s="365"/>
      <c r="U233" s="365"/>
      <c r="V233" s="365"/>
      <c r="W233" s="365"/>
      <c r="X233" s="365"/>
      <c r="Y233" s="365"/>
      <c r="Z233" s="365"/>
      <c r="AA233" s="365"/>
      <c r="AB233" s="365"/>
      <c r="AC233" s="365"/>
      <c r="AD233" s="365"/>
    </row>
    <row r="234" spans="1:30" s="352" customFormat="1">
      <c r="A234" s="364"/>
      <c r="B234" s="364"/>
      <c r="C234" s="365"/>
      <c r="D234" s="365"/>
      <c r="E234" s="365"/>
      <c r="F234" s="365"/>
      <c r="G234" s="365"/>
      <c r="H234" s="365"/>
      <c r="I234" s="365"/>
      <c r="J234" s="365"/>
      <c r="K234" s="365"/>
      <c r="L234" s="365"/>
      <c r="M234" s="365"/>
      <c r="N234" s="365"/>
      <c r="O234" s="365"/>
      <c r="P234" s="365"/>
      <c r="Q234" s="365"/>
      <c r="R234" s="365"/>
      <c r="S234" s="365"/>
      <c r="T234" s="365"/>
      <c r="U234" s="365"/>
      <c r="V234" s="365"/>
      <c r="W234" s="365"/>
      <c r="X234" s="365"/>
      <c r="Y234" s="365"/>
      <c r="Z234" s="365"/>
      <c r="AA234" s="365"/>
      <c r="AB234" s="365"/>
      <c r="AC234" s="365"/>
      <c r="AD234" s="365"/>
    </row>
    <row r="235" spans="1:30" s="352" customFormat="1">
      <c r="A235" s="364"/>
      <c r="B235" s="364"/>
      <c r="C235" s="365"/>
      <c r="D235" s="365"/>
      <c r="E235" s="365"/>
      <c r="F235" s="365"/>
      <c r="G235" s="365"/>
      <c r="H235" s="365"/>
      <c r="I235" s="365"/>
      <c r="J235" s="365"/>
      <c r="K235" s="365"/>
      <c r="L235" s="365"/>
      <c r="M235" s="365"/>
      <c r="N235" s="365"/>
      <c r="O235" s="365"/>
      <c r="P235" s="365"/>
      <c r="Q235" s="365"/>
      <c r="R235" s="365"/>
      <c r="S235" s="365"/>
      <c r="T235" s="365"/>
      <c r="U235" s="365"/>
      <c r="V235" s="365"/>
      <c r="W235" s="365"/>
      <c r="X235" s="365"/>
      <c r="Y235" s="365"/>
      <c r="Z235" s="365"/>
      <c r="AA235" s="365"/>
      <c r="AB235" s="365"/>
      <c r="AC235" s="365"/>
      <c r="AD235" s="365"/>
    </row>
    <row r="236" spans="1:30" s="352" customFormat="1">
      <c r="A236" s="364"/>
      <c r="B236" s="364"/>
      <c r="C236" s="365"/>
      <c r="D236" s="365"/>
      <c r="E236" s="365"/>
      <c r="F236" s="365"/>
      <c r="G236" s="365"/>
      <c r="H236" s="365"/>
      <c r="I236" s="365"/>
      <c r="J236" s="365"/>
      <c r="K236" s="365"/>
      <c r="L236" s="365"/>
      <c r="M236" s="365"/>
      <c r="N236" s="365"/>
      <c r="O236" s="365"/>
      <c r="P236" s="365"/>
      <c r="Q236" s="365"/>
      <c r="R236" s="365"/>
      <c r="S236" s="365"/>
      <c r="T236" s="365"/>
      <c r="U236" s="365"/>
      <c r="V236" s="365"/>
      <c r="W236" s="365"/>
      <c r="X236" s="365"/>
      <c r="Y236" s="365"/>
      <c r="Z236" s="365"/>
      <c r="AA236" s="365"/>
      <c r="AB236" s="365"/>
      <c r="AC236" s="365"/>
      <c r="AD236" s="365"/>
    </row>
    <row r="237" spans="1:30" s="352" customFormat="1">
      <c r="A237" s="364"/>
      <c r="B237" s="364"/>
      <c r="C237" s="365"/>
      <c r="D237" s="365"/>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365"/>
      <c r="AC237" s="365"/>
      <c r="AD237" s="365"/>
    </row>
    <row r="238" spans="1:30" s="352" customFormat="1">
      <c r="A238" s="364"/>
      <c r="B238" s="364"/>
      <c r="C238" s="365"/>
      <c r="D238" s="365"/>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365"/>
      <c r="AC238" s="365"/>
      <c r="AD238" s="365"/>
    </row>
    <row r="239" spans="1:30" s="352" customFormat="1">
      <c r="A239" s="364"/>
      <c r="B239" s="364"/>
      <c r="C239" s="365"/>
      <c r="D239" s="365"/>
      <c r="E239" s="365"/>
      <c r="F239" s="365"/>
      <c r="G239" s="365"/>
      <c r="H239" s="365"/>
      <c r="I239" s="365"/>
      <c r="J239" s="365"/>
      <c r="K239" s="365"/>
      <c r="L239" s="365"/>
      <c r="M239" s="365"/>
      <c r="N239" s="365"/>
      <c r="O239" s="365"/>
      <c r="P239" s="365"/>
      <c r="Q239" s="365"/>
      <c r="R239" s="365"/>
      <c r="S239" s="365"/>
      <c r="T239" s="365"/>
      <c r="U239" s="365"/>
      <c r="V239" s="365"/>
      <c r="W239" s="365"/>
      <c r="X239" s="365"/>
      <c r="Y239" s="365"/>
      <c r="Z239" s="365"/>
      <c r="AA239" s="365"/>
      <c r="AB239" s="365"/>
      <c r="AC239" s="365"/>
      <c r="AD239" s="365"/>
    </row>
    <row r="240" spans="1:30" s="352" customFormat="1">
      <c r="A240" s="364"/>
      <c r="B240" s="364"/>
      <c r="C240" s="365"/>
      <c r="D240" s="365"/>
      <c r="E240" s="365"/>
      <c r="F240" s="365"/>
      <c r="G240" s="365"/>
      <c r="H240" s="365"/>
      <c r="I240" s="365"/>
      <c r="J240" s="365"/>
      <c r="K240" s="365"/>
      <c r="L240" s="365"/>
      <c r="M240" s="365"/>
      <c r="N240" s="365"/>
      <c r="O240" s="365"/>
      <c r="P240" s="365"/>
      <c r="Q240" s="365"/>
      <c r="R240" s="365"/>
      <c r="S240" s="365"/>
      <c r="T240" s="365"/>
      <c r="U240" s="365"/>
      <c r="V240" s="365"/>
      <c r="W240" s="365"/>
      <c r="X240" s="365"/>
      <c r="Y240" s="365"/>
      <c r="Z240" s="365"/>
      <c r="AA240" s="365"/>
      <c r="AB240" s="365"/>
      <c r="AC240" s="365"/>
      <c r="AD240" s="365"/>
    </row>
    <row r="241" spans="1:30" s="352" customFormat="1">
      <c r="A241" s="364"/>
      <c r="B241" s="364"/>
      <c r="C241" s="365"/>
      <c r="D241" s="365"/>
      <c r="E241" s="365"/>
      <c r="F241" s="365"/>
      <c r="G241" s="365"/>
      <c r="H241" s="365"/>
      <c r="I241" s="365"/>
      <c r="J241" s="365"/>
      <c r="K241" s="365"/>
      <c r="L241" s="365"/>
      <c r="M241" s="365"/>
      <c r="N241" s="365"/>
      <c r="O241" s="365"/>
      <c r="P241" s="365"/>
      <c r="Q241" s="365"/>
      <c r="R241" s="365"/>
      <c r="S241" s="365"/>
      <c r="T241" s="365"/>
      <c r="U241" s="365"/>
      <c r="V241" s="365"/>
      <c r="W241" s="365"/>
      <c r="X241" s="365"/>
      <c r="Y241" s="365"/>
      <c r="Z241" s="365"/>
      <c r="AA241" s="365"/>
      <c r="AB241" s="365"/>
      <c r="AC241" s="365"/>
      <c r="AD241" s="365"/>
    </row>
    <row r="242" spans="1:30" s="352" customFormat="1">
      <c r="A242" s="364"/>
      <c r="B242" s="364"/>
      <c r="C242" s="365"/>
      <c r="D242" s="365"/>
      <c r="E242" s="365"/>
      <c r="F242" s="365"/>
      <c r="G242" s="365"/>
      <c r="H242" s="365"/>
      <c r="I242" s="365"/>
      <c r="J242" s="365"/>
      <c r="K242" s="365"/>
      <c r="L242" s="365"/>
      <c r="M242" s="365"/>
      <c r="N242" s="365"/>
      <c r="O242" s="365"/>
      <c r="P242" s="365"/>
      <c r="Q242" s="365"/>
      <c r="R242" s="365"/>
      <c r="S242" s="365"/>
      <c r="T242" s="365"/>
      <c r="U242" s="365"/>
      <c r="V242" s="365"/>
      <c r="W242" s="365"/>
      <c r="X242" s="365"/>
      <c r="Y242" s="365"/>
      <c r="Z242" s="365"/>
      <c r="AA242" s="365"/>
      <c r="AB242" s="365"/>
      <c r="AC242" s="365"/>
      <c r="AD242" s="365"/>
    </row>
    <row r="243" spans="1:30" s="352" customFormat="1">
      <c r="A243" s="364"/>
      <c r="B243" s="364"/>
      <c r="C243" s="365"/>
      <c r="D243" s="365"/>
      <c r="E243" s="365"/>
      <c r="F243" s="365"/>
      <c r="G243" s="365"/>
      <c r="H243" s="365"/>
      <c r="I243" s="365"/>
      <c r="J243" s="365"/>
      <c r="K243" s="365"/>
      <c r="L243" s="365"/>
      <c r="M243" s="365"/>
      <c r="N243" s="365"/>
      <c r="O243" s="365"/>
      <c r="P243" s="365"/>
      <c r="Q243" s="365"/>
      <c r="R243" s="365"/>
      <c r="S243" s="365"/>
      <c r="T243" s="365"/>
      <c r="U243" s="365"/>
      <c r="V243" s="365"/>
      <c r="W243" s="365"/>
      <c r="X243" s="365"/>
      <c r="Y243" s="365"/>
      <c r="Z243" s="365"/>
      <c r="AA243" s="365"/>
      <c r="AB243" s="365"/>
      <c r="AC243" s="365"/>
      <c r="AD243" s="365"/>
    </row>
    <row r="244" spans="1:30" s="352" customFormat="1">
      <c r="A244" s="364"/>
      <c r="B244" s="364"/>
      <c r="C244" s="365"/>
      <c r="D244" s="365"/>
      <c r="E244" s="365"/>
      <c r="F244" s="365"/>
      <c r="G244" s="365"/>
      <c r="H244" s="365"/>
      <c r="I244" s="365"/>
      <c r="J244" s="365"/>
      <c r="K244" s="365"/>
      <c r="L244" s="365"/>
      <c r="M244" s="365"/>
      <c r="N244" s="365"/>
      <c r="O244" s="365"/>
      <c r="P244" s="365"/>
      <c r="Q244" s="365"/>
      <c r="R244" s="365"/>
      <c r="S244" s="365"/>
      <c r="T244" s="365"/>
      <c r="U244" s="365"/>
      <c r="V244" s="365"/>
      <c r="W244" s="365"/>
      <c r="X244" s="365"/>
      <c r="Y244" s="365"/>
      <c r="Z244" s="365"/>
      <c r="AA244" s="365"/>
      <c r="AB244" s="365"/>
      <c r="AC244" s="365"/>
      <c r="AD244" s="365"/>
    </row>
    <row r="245" spans="1:30" s="352" customFormat="1">
      <c r="A245" s="364"/>
      <c r="B245" s="364"/>
      <c r="C245" s="365"/>
      <c r="D245" s="365"/>
      <c r="E245" s="365"/>
      <c r="F245" s="365"/>
      <c r="G245" s="365"/>
      <c r="H245" s="365"/>
      <c r="I245" s="365"/>
      <c r="J245" s="365"/>
      <c r="K245" s="365"/>
      <c r="L245" s="365"/>
      <c r="M245" s="365"/>
      <c r="N245" s="365"/>
      <c r="O245" s="365"/>
      <c r="P245" s="365"/>
      <c r="Q245" s="365"/>
      <c r="R245" s="365"/>
      <c r="S245" s="365"/>
      <c r="T245" s="365"/>
      <c r="U245" s="365"/>
      <c r="V245" s="365"/>
      <c r="W245" s="365"/>
      <c r="X245" s="365"/>
      <c r="Y245" s="365"/>
      <c r="Z245" s="365"/>
      <c r="AA245" s="365"/>
      <c r="AB245" s="365"/>
      <c r="AC245" s="365"/>
      <c r="AD245" s="365"/>
    </row>
    <row r="246" spans="1:30" s="352" customFormat="1">
      <c r="A246" s="364"/>
      <c r="B246" s="364"/>
      <c r="C246" s="365"/>
      <c r="D246" s="365"/>
      <c r="E246" s="365"/>
      <c r="F246" s="365"/>
      <c r="G246" s="365"/>
      <c r="H246" s="365"/>
      <c r="I246" s="365"/>
      <c r="J246" s="365"/>
      <c r="K246" s="365"/>
      <c r="L246" s="365"/>
      <c r="M246" s="365"/>
      <c r="N246" s="365"/>
      <c r="O246" s="365"/>
      <c r="P246" s="365"/>
      <c r="Q246" s="365"/>
      <c r="R246" s="365"/>
      <c r="S246" s="365"/>
      <c r="T246" s="365"/>
      <c r="U246" s="365"/>
      <c r="V246" s="365"/>
      <c r="W246" s="365"/>
      <c r="X246" s="365"/>
      <c r="Y246" s="365"/>
      <c r="Z246" s="365"/>
      <c r="AA246" s="365"/>
      <c r="AB246" s="365"/>
      <c r="AC246" s="365"/>
      <c r="AD246" s="365"/>
    </row>
    <row r="247" spans="1:30" s="352" customFormat="1">
      <c r="A247" s="364"/>
      <c r="B247" s="364"/>
      <c r="C247" s="365"/>
      <c r="D247" s="365"/>
      <c r="E247" s="365"/>
      <c r="F247" s="365"/>
      <c r="G247" s="365"/>
      <c r="H247" s="365"/>
      <c r="I247" s="365"/>
      <c r="J247" s="365"/>
      <c r="K247" s="365"/>
      <c r="L247" s="365"/>
      <c r="M247" s="365"/>
      <c r="N247" s="365"/>
      <c r="O247" s="365"/>
      <c r="P247" s="365"/>
      <c r="Q247" s="365"/>
      <c r="R247" s="365"/>
      <c r="S247" s="365"/>
      <c r="T247" s="365"/>
      <c r="U247" s="365"/>
      <c r="V247" s="365"/>
      <c r="W247" s="365"/>
      <c r="X247" s="365"/>
      <c r="Y247" s="365"/>
      <c r="Z247" s="365"/>
      <c r="AA247" s="365"/>
      <c r="AB247" s="365"/>
      <c r="AC247" s="365"/>
      <c r="AD247" s="365"/>
    </row>
    <row r="248" spans="1:30" s="352" customFormat="1">
      <c r="A248" s="364"/>
      <c r="B248" s="364"/>
      <c r="C248" s="365"/>
      <c r="D248" s="365"/>
      <c r="E248" s="365"/>
      <c r="F248" s="365"/>
      <c r="G248" s="365"/>
      <c r="H248" s="365"/>
      <c r="I248" s="365"/>
      <c r="J248" s="365"/>
      <c r="K248" s="365"/>
      <c r="L248" s="365"/>
      <c r="M248" s="365"/>
      <c r="N248" s="365"/>
      <c r="O248" s="365"/>
      <c r="P248" s="365"/>
      <c r="Q248" s="365"/>
      <c r="R248" s="365"/>
      <c r="S248" s="365"/>
      <c r="T248" s="365"/>
      <c r="U248" s="365"/>
      <c r="V248" s="365"/>
      <c r="W248" s="365"/>
      <c r="X248" s="365"/>
      <c r="Y248" s="365"/>
      <c r="Z248" s="365"/>
      <c r="AA248" s="365"/>
      <c r="AB248" s="365"/>
      <c r="AC248" s="365"/>
      <c r="AD248" s="365"/>
    </row>
    <row r="249" spans="1:30" s="352" customFormat="1">
      <c r="A249" s="364"/>
      <c r="B249" s="364"/>
      <c r="C249" s="365"/>
      <c r="D249" s="365"/>
      <c r="E249" s="365"/>
      <c r="F249" s="365"/>
      <c r="G249" s="365"/>
      <c r="H249" s="365"/>
      <c r="I249" s="365"/>
      <c r="J249" s="365"/>
      <c r="K249" s="365"/>
      <c r="L249" s="365"/>
      <c r="M249" s="365"/>
      <c r="N249" s="365"/>
      <c r="O249" s="365"/>
      <c r="P249" s="365"/>
      <c r="Q249" s="365"/>
      <c r="R249" s="365"/>
      <c r="S249" s="365"/>
      <c r="T249" s="365"/>
      <c r="U249" s="365"/>
      <c r="V249" s="365"/>
      <c r="W249" s="365"/>
      <c r="X249" s="365"/>
      <c r="Y249" s="365"/>
      <c r="Z249" s="365"/>
      <c r="AA249" s="365"/>
      <c r="AB249" s="365"/>
      <c r="AC249" s="365"/>
      <c r="AD249" s="365"/>
    </row>
    <row r="250" spans="1:30" s="352" customFormat="1">
      <c r="A250" s="364"/>
      <c r="B250" s="364"/>
      <c r="C250" s="365"/>
      <c r="D250" s="365"/>
      <c r="E250" s="365"/>
      <c r="F250" s="365"/>
      <c r="G250" s="365"/>
      <c r="H250" s="365"/>
      <c r="I250" s="365"/>
      <c r="J250" s="365"/>
      <c r="K250" s="365"/>
      <c r="L250" s="365"/>
      <c r="M250" s="365"/>
      <c r="N250" s="365"/>
      <c r="O250" s="365"/>
      <c r="P250" s="365"/>
      <c r="Q250" s="365"/>
      <c r="R250" s="365"/>
      <c r="S250" s="365"/>
      <c r="T250" s="365"/>
      <c r="U250" s="365"/>
      <c r="V250" s="365"/>
      <c r="W250" s="365"/>
      <c r="X250" s="365"/>
      <c r="Y250" s="365"/>
      <c r="Z250" s="365"/>
      <c r="AA250" s="365"/>
      <c r="AB250" s="365"/>
      <c r="AC250" s="365"/>
      <c r="AD250" s="365"/>
    </row>
    <row r="251" spans="1:30" s="352" customFormat="1">
      <c r="A251" s="364"/>
      <c r="B251" s="364"/>
      <c r="C251" s="365"/>
      <c r="D251" s="365"/>
      <c r="E251" s="365"/>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row>
    <row r="252" spans="1:30" s="352" customFormat="1">
      <c r="A252" s="364"/>
      <c r="B252" s="364"/>
      <c r="C252" s="365"/>
      <c r="D252" s="365"/>
      <c r="E252" s="365"/>
      <c r="F252" s="365"/>
      <c r="G252" s="365"/>
      <c r="H252" s="365"/>
      <c r="I252" s="365"/>
      <c r="J252" s="365"/>
      <c r="K252" s="365"/>
      <c r="L252" s="365"/>
      <c r="M252" s="365"/>
      <c r="N252" s="365"/>
      <c r="O252" s="365"/>
      <c r="P252" s="365"/>
      <c r="Q252" s="365"/>
      <c r="R252" s="365"/>
      <c r="S252" s="365"/>
      <c r="T252" s="365"/>
      <c r="U252" s="365"/>
      <c r="V252" s="365"/>
      <c r="W252" s="365"/>
      <c r="X252" s="365"/>
      <c r="Y252" s="365"/>
      <c r="Z252" s="365"/>
      <c r="AA252" s="365"/>
      <c r="AB252" s="365"/>
      <c r="AC252" s="365"/>
      <c r="AD252" s="365"/>
    </row>
    <row r="253" spans="1:30" s="352" customFormat="1">
      <c r="A253" s="364"/>
      <c r="B253" s="364"/>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row>
    <row r="254" spans="1:30" s="352" customFormat="1">
      <c r="A254" s="364"/>
      <c r="B254" s="364"/>
      <c r="C254" s="365"/>
      <c r="D254" s="365"/>
      <c r="E254" s="365"/>
      <c r="F254" s="365"/>
      <c r="G254" s="365"/>
      <c r="H254" s="365"/>
      <c r="I254" s="365"/>
      <c r="J254" s="365"/>
      <c r="K254" s="365"/>
      <c r="L254" s="365"/>
      <c r="M254" s="365"/>
      <c r="N254" s="365"/>
      <c r="O254" s="365"/>
      <c r="P254" s="365"/>
      <c r="Q254" s="365"/>
      <c r="R254" s="365"/>
      <c r="S254" s="365"/>
      <c r="T254" s="365"/>
      <c r="U254" s="365"/>
      <c r="V254" s="365"/>
      <c r="W254" s="365"/>
      <c r="X254" s="365"/>
      <c r="Y254" s="365"/>
      <c r="Z254" s="365"/>
      <c r="AA254" s="365"/>
      <c r="AB254" s="365"/>
      <c r="AC254" s="365"/>
      <c r="AD254" s="365"/>
    </row>
    <row r="255" spans="1:30" s="352" customFormat="1">
      <c r="A255" s="364"/>
      <c r="B255" s="364"/>
      <c r="C255" s="365"/>
      <c r="D255" s="365"/>
      <c r="E255" s="365"/>
      <c r="F255" s="365"/>
      <c r="G255" s="365"/>
      <c r="H255" s="365"/>
      <c r="I255" s="365"/>
      <c r="J255" s="365"/>
      <c r="K255" s="365"/>
      <c r="L255" s="365"/>
      <c r="M255" s="365"/>
      <c r="N255" s="365"/>
      <c r="O255" s="365"/>
      <c r="P255" s="365"/>
      <c r="Q255" s="365"/>
      <c r="R255" s="365"/>
      <c r="S255" s="365"/>
      <c r="T255" s="365"/>
      <c r="U255" s="365"/>
      <c r="V255" s="365"/>
      <c r="W255" s="365"/>
      <c r="X255" s="365"/>
      <c r="Y255" s="365"/>
      <c r="Z255" s="365"/>
      <c r="AA255" s="365"/>
      <c r="AB255" s="365"/>
      <c r="AC255" s="365"/>
      <c r="AD255" s="365"/>
    </row>
    <row r="256" spans="1:30" s="352" customFormat="1">
      <c r="A256" s="364"/>
      <c r="B256" s="364"/>
      <c r="C256" s="365"/>
      <c r="D256" s="365"/>
      <c r="E256" s="365"/>
      <c r="F256" s="365"/>
      <c r="G256" s="365"/>
      <c r="H256" s="365"/>
      <c r="I256" s="365"/>
      <c r="J256" s="365"/>
      <c r="K256" s="365"/>
      <c r="L256" s="365"/>
      <c r="M256" s="365"/>
      <c r="N256" s="365"/>
      <c r="O256" s="365"/>
      <c r="P256" s="365"/>
      <c r="Q256" s="365"/>
      <c r="R256" s="365"/>
      <c r="S256" s="365"/>
      <c r="T256" s="365"/>
      <c r="U256" s="365"/>
      <c r="V256" s="365"/>
      <c r="W256" s="365"/>
      <c r="X256" s="365"/>
      <c r="Y256" s="365"/>
      <c r="Z256" s="365"/>
      <c r="AA256" s="365"/>
      <c r="AB256" s="365"/>
      <c r="AC256" s="365"/>
      <c r="AD256" s="365"/>
    </row>
    <row r="257" spans="1:30" s="352" customFormat="1">
      <c r="A257" s="364"/>
      <c r="B257" s="364"/>
      <c r="C257" s="365"/>
      <c r="D257" s="365"/>
      <c r="E257" s="365"/>
      <c r="F257" s="365"/>
      <c r="G257" s="365"/>
      <c r="H257" s="365"/>
      <c r="I257" s="365"/>
      <c r="J257" s="365"/>
      <c r="K257" s="365"/>
      <c r="L257" s="365"/>
      <c r="M257" s="365"/>
      <c r="N257" s="365"/>
      <c r="O257" s="365"/>
      <c r="P257" s="365"/>
      <c r="Q257" s="365"/>
      <c r="R257" s="365"/>
      <c r="S257" s="365"/>
      <c r="T257" s="365"/>
      <c r="U257" s="365"/>
      <c r="V257" s="365"/>
      <c r="W257" s="365"/>
      <c r="X257" s="365"/>
      <c r="Y257" s="365"/>
      <c r="Z257" s="365"/>
      <c r="AA257" s="365"/>
      <c r="AB257" s="365"/>
      <c r="AC257" s="365"/>
      <c r="AD257" s="365"/>
    </row>
    <row r="258" spans="1:30" s="352" customFormat="1">
      <c r="A258" s="364"/>
      <c r="B258" s="364"/>
      <c r="C258" s="365"/>
      <c r="D258" s="365"/>
      <c r="E258" s="365"/>
      <c r="F258" s="365"/>
      <c r="G258" s="365"/>
      <c r="H258" s="365"/>
      <c r="I258" s="365"/>
      <c r="J258" s="365"/>
      <c r="K258" s="365"/>
      <c r="L258" s="365"/>
      <c r="M258" s="365"/>
      <c r="N258" s="365"/>
      <c r="O258" s="365"/>
      <c r="P258" s="365"/>
      <c r="Q258" s="365"/>
      <c r="R258" s="365"/>
      <c r="S258" s="365"/>
      <c r="T258" s="365"/>
      <c r="U258" s="365"/>
      <c r="V258" s="365"/>
      <c r="W258" s="365"/>
      <c r="X258" s="365"/>
      <c r="Y258" s="365"/>
      <c r="Z258" s="365"/>
      <c r="AA258" s="365"/>
      <c r="AB258" s="365"/>
      <c r="AC258" s="365"/>
      <c r="AD258" s="365"/>
    </row>
    <row r="259" spans="1:30" s="352" customFormat="1">
      <c r="A259" s="364"/>
      <c r="B259" s="364"/>
      <c r="C259" s="365"/>
      <c r="D259" s="365"/>
      <c r="E259" s="365"/>
      <c r="F259" s="365"/>
      <c r="G259" s="365"/>
      <c r="H259" s="365"/>
      <c r="I259" s="365"/>
      <c r="J259" s="365"/>
      <c r="K259" s="365"/>
      <c r="L259" s="365"/>
      <c r="M259" s="365"/>
      <c r="N259" s="365"/>
      <c r="O259" s="365"/>
      <c r="P259" s="365"/>
      <c r="Q259" s="365"/>
      <c r="R259" s="365"/>
      <c r="S259" s="365"/>
      <c r="T259" s="365"/>
      <c r="U259" s="365"/>
      <c r="V259" s="365"/>
      <c r="W259" s="365"/>
      <c r="X259" s="365"/>
      <c r="Y259" s="365"/>
      <c r="Z259" s="365"/>
      <c r="AA259" s="365"/>
      <c r="AB259" s="365"/>
      <c r="AC259" s="365"/>
      <c r="AD259" s="365"/>
    </row>
    <row r="260" spans="1:30" s="352" customFormat="1">
      <c r="A260" s="364"/>
      <c r="B260" s="364"/>
      <c r="C260" s="365"/>
      <c r="D260" s="365"/>
      <c r="E260" s="365"/>
      <c r="F260" s="365"/>
      <c r="G260" s="365"/>
      <c r="H260" s="365"/>
      <c r="I260" s="365"/>
      <c r="J260" s="365"/>
      <c r="K260" s="365"/>
      <c r="L260" s="365"/>
      <c r="M260" s="365"/>
      <c r="N260" s="365"/>
      <c r="O260" s="365"/>
      <c r="P260" s="365"/>
      <c r="Q260" s="365"/>
      <c r="R260" s="365"/>
      <c r="S260" s="365"/>
      <c r="T260" s="365"/>
      <c r="U260" s="365"/>
      <c r="V260" s="365"/>
      <c r="W260" s="365"/>
      <c r="X260" s="365"/>
      <c r="Y260" s="365"/>
      <c r="Z260" s="365"/>
      <c r="AA260" s="365"/>
      <c r="AB260" s="365"/>
      <c r="AC260" s="365"/>
      <c r="AD260" s="365"/>
    </row>
    <row r="261" spans="1:30" s="352" customFormat="1">
      <c r="A261" s="364"/>
      <c r="B261" s="364"/>
      <c r="C261" s="365"/>
      <c r="D261" s="365"/>
      <c r="E261" s="365"/>
      <c r="F261" s="365"/>
      <c r="G261" s="365"/>
      <c r="H261" s="365"/>
      <c r="I261" s="365"/>
      <c r="J261" s="365"/>
      <c r="K261" s="365"/>
      <c r="L261" s="365"/>
      <c r="M261" s="365"/>
      <c r="N261" s="365"/>
      <c r="O261" s="365"/>
      <c r="P261" s="365"/>
      <c r="Q261" s="365"/>
      <c r="R261" s="365"/>
      <c r="S261" s="365"/>
      <c r="T261" s="365"/>
      <c r="U261" s="365"/>
      <c r="V261" s="365"/>
      <c r="W261" s="365"/>
      <c r="X261" s="365"/>
      <c r="Y261" s="365"/>
      <c r="Z261" s="365"/>
      <c r="AA261" s="365"/>
      <c r="AB261" s="365"/>
      <c r="AC261" s="365"/>
      <c r="AD261" s="365"/>
    </row>
    <row r="262" spans="1:30" s="352" customFormat="1">
      <c r="A262" s="364"/>
      <c r="B262" s="364"/>
      <c r="C262" s="365"/>
      <c r="D262" s="365"/>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row>
    <row r="263" spans="1:30" s="352" customFormat="1">
      <c r="A263" s="364"/>
      <c r="B263" s="364"/>
      <c r="C263" s="365"/>
      <c r="D263" s="365"/>
      <c r="E263" s="365"/>
      <c r="F263" s="365"/>
      <c r="G263" s="365"/>
      <c r="H263" s="365"/>
      <c r="I263" s="365"/>
      <c r="J263" s="365"/>
      <c r="K263" s="365"/>
      <c r="L263" s="365"/>
      <c r="M263" s="365"/>
      <c r="N263" s="365"/>
      <c r="O263" s="365"/>
      <c r="P263" s="365"/>
      <c r="Q263" s="365"/>
      <c r="R263" s="365"/>
      <c r="S263" s="365"/>
      <c r="T263" s="365"/>
      <c r="U263" s="365"/>
      <c r="V263" s="365"/>
      <c r="W263" s="365"/>
      <c r="X263" s="365"/>
      <c r="Y263" s="365"/>
      <c r="Z263" s="365"/>
      <c r="AA263" s="365"/>
      <c r="AB263" s="365"/>
      <c r="AC263" s="365"/>
      <c r="AD263" s="365"/>
    </row>
    <row r="264" spans="1:30" s="352" customFormat="1">
      <c r="A264" s="364"/>
      <c r="B264" s="364"/>
      <c r="C264" s="365"/>
      <c r="D264" s="365"/>
      <c r="E264" s="365"/>
      <c r="F264" s="365"/>
      <c r="G264" s="365"/>
      <c r="H264" s="365"/>
      <c r="I264" s="365"/>
      <c r="J264" s="365"/>
      <c r="K264" s="365"/>
      <c r="L264" s="365"/>
      <c r="M264" s="365"/>
      <c r="N264" s="365"/>
      <c r="O264" s="365"/>
      <c r="P264" s="365"/>
      <c r="Q264" s="365"/>
      <c r="R264" s="365"/>
      <c r="S264" s="365"/>
      <c r="T264" s="365"/>
      <c r="U264" s="365"/>
      <c r="V264" s="365"/>
      <c r="W264" s="365"/>
      <c r="X264" s="365"/>
      <c r="Y264" s="365"/>
      <c r="Z264" s="365"/>
      <c r="AA264" s="365"/>
      <c r="AB264" s="365"/>
      <c r="AC264" s="365"/>
      <c r="AD264" s="365"/>
    </row>
    <row r="265" spans="1:30" s="352" customFormat="1">
      <c r="A265" s="364"/>
      <c r="B265" s="364"/>
      <c r="C265" s="365"/>
      <c r="D265" s="365"/>
      <c r="E265" s="365"/>
      <c r="F265" s="365"/>
      <c r="G265" s="365"/>
      <c r="H265" s="365"/>
      <c r="I265" s="365"/>
      <c r="J265" s="365"/>
      <c r="K265" s="365"/>
      <c r="L265" s="365"/>
      <c r="M265" s="365"/>
      <c r="N265" s="365"/>
      <c r="O265" s="365"/>
      <c r="P265" s="365"/>
      <c r="Q265" s="365"/>
      <c r="R265" s="365"/>
      <c r="S265" s="365"/>
      <c r="T265" s="365"/>
      <c r="U265" s="365"/>
      <c r="V265" s="365"/>
      <c r="W265" s="365"/>
      <c r="X265" s="365"/>
      <c r="Y265" s="365"/>
      <c r="Z265" s="365"/>
      <c r="AA265" s="365"/>
      <c r="AB265" s="365"/>
      <c r="AC265" s="365"/>
      <c r="AD265" s="365"/>
    </row>
    <row r="266" spans="1:30" s="352" customFormat="1">
      <c r="A266" s="364"/>
      <c r="B266" s="364"/>
      <c r="C266" s="365"/>
      <c r="D266" s="365"/>
      <c r="E266" s="365"/>
      <c r="F266" s="365"/>
      <c r="G266" s="365"/>
      <c r="H266" s="365"/>
      <c r="I266" s="365"/>
      <c r="J266" s="365"/>
      <c r="K266" s="365"/>
      <c r="L266" s="365"/>
      <c r="M266" s="365"/>
      <c r="N266" s="365"/>
      <c r="O266" s="365"/>
      <c r="P266" s="365"/>
      <c r="Q266" s="365"/>
      <c r="R266" s="365"/>
      <c r="S266" s="365"/>
      <c r="T266" s="365"/>
      <c r="U266" s="365"/>
      <c r="V266" s="365"/>
      <c r="W266" s="365"/>
      <c r="X266" s="365"/>
      <c r="Y266" s="365"/>
      <c r="Z266" s="365"/>
      <c r="AA266" s="365"/>
      <c r="AB266" s="365"/>
      <c r="AC266" s="365"/>
      <c r="AD266" s="365"/>
    </row>
    <row r="267" spans="1:30" s="352" customFormat="1">
      <c r="A267" s="364"/>
      <c r="B267" s="364"/>
      <c r="C267" s="365"/>
      <c r="D267" s="365"/>
      <c r="E267" s="365"/>
      <c r="F267" s="365"/>
      <c r="G267" s="365"/>
      <c r="H267" s="365"/>
      <c r="I267" s="365"/>
      <c r="J267" s="365"/>
      <c r="K267" s="365"/>
      <c r="L267" s="365"/>
      <c r="M267" s="365"/>
      <c r="N267" s="365"/>
      <c r="O267" s="365"/>
      <c r="P267" s="365"/>
      <c r="Q267" s="365"/>
      <c r="R267" s="365"/>
      <c r="S267" s="365"/>
      <c r="T267" s="365"/>
      <c r="U267" s="365"/>
      <c r="V267" s="365"/>
      <c r="W267" s="365"/>
      <c r="X267" s="365"/>
      <c r="Y267" s="365"/>
      <c r="Z267" s="365"/>
      <c r="AA267" s="365"/>
      <c r="AB267" s="365"/>
      <c r="AC267" s="365"/>
      <c r="AD267" s="365"/>
    </row>
    <row r="268" spans="1:30" s="352" customFormat="1">
      <c r="A268" s="364"/>
      <c r="B268" s="364"/>
      <c r="C268" s="365"/>
      <c r="D268" s="365"/>
      <c r="E268" s="365"/>
      <c r="F268" s="365"/>
      <c r="G268" s="365"/>
      <c r="H268" s="365"/>
      <c r="I268" s="365"/>
      <c r="J268" s="365"/>
      <c r="K268" s="365"/>
      <c r="L268" s="365"/>
      <c r="M268" s="365"/>
      <c r="N268" s="365"/>
      <c r="O268" s="365"/>
      <c r="P268" s="365"/>
      <c r="Q268" s="365"/>
      <c r="R268" s="365"/>
      <c r="S268" s="365"/>
      <c r="T268" s="365"/>
      <c r="U268" s="365"/>
      <c r="V268" s="365"/>
      <c r="W268" s="365"/>
      <c r="X268" s="365"/>
      <c r="Y268" s="365"/>
      <c r="Z268" s="365"/>
      <c r="AA268" s="365"/>
      <c r="AB268" s="365"/>
      <c r="AC268" s="365"/>
      <c r="AD268" s="365"/>
    </row>
    <row r="269" spans="1:30" s="352" customFormat="1">
      <c r="A269" s="364"/>
      <c r="B269" s="364"/>
      <c r="C269" s="365"/>
      <c r="D269" s="365"/>
      <c r="E269" s="365"/>
      <c r="F269" s="365"/>
      <c r="G269" s="365"/>
      <c r="H269" s="365"/>
      <c r="I269" s="365"/>
      <c r="J269" s="365"/>
      <c r="K269" s="365"/>
      <c r="L269" s="365"/>
      <c r="M269" s="365"/>
      <c r="N269" s="365"/>
      <c r="O269" s="365"/>
      <c r="P269" s="365"/>
      <c r="Q269" s="365"/>
      <c r="R269" s="365"/>
      <c r="S269" s="365"/>
      <c r="T269" s="365"/>
      <c r="U269" s="365"/>
      <c r="V269" s="365"/>
      <c r="W269" s="365"/>
      <c r="X269" s="365"/>
      <c r="Y269" s="365"/>
      <c r="Z269" s="365"/>
      <c r="AA269" s="365"/>
      <c r="AB269" s="365"/>
      <c r="AC269" s="365"/>
      <c r="AD269" s="365"/>
    </row>
    <row r="270" spans="1:30" s="352" customFormat="1">
      <c r="A270" s="364"/>
      <c r="B270" s="364"/>
      <c r="C270" s="365"/>
      <c r="D270" s="365"/>
      <c r="E270" s="365"/>
      <c r="F270" s="365"/>
      <c r="G270" s="365"/>
      <c r="H270" s="365"/>
      <c r="I270" s="365"/>
      <c r="J270" s="365"/>
      <c r="K270" s="365"/>
      <c r="L270" s="365"/>
      <c r="M270" s="365"/>
      <c r="N270" s="365"/>
      <c r="O270" s="365"/>
      <c r="P270" s="365"/>
      <c r="Q270" s="365"/>
      <c r="R270" s="365"/>
      <c r="S270" s="365"/>
      <c r="T270" s="365"/>
      <c r="U270" s="365"/>
      <c r="V270" s="365"/>
      <c r="W270" s="365"/>
      <c r="X270" s="365"/>
      <c r="Y270" s="365"/>
      <c r="Z270" s="365"/>
      <c r="AA270" s="365"/>
      <c r="AB270" s="365"/>
      <c r="AC270" s="365"/>
      <c r="AD270" s="365"/>
    </row>
    <row r="271" spans="1:30" s="352" customFormat="1">
      <c r="A271" s="364"/>
      <c r="B271" s="364"/>
      <c r="C271" s="365"/>
      <c r="D271" s="365"/>
      <c r="E271" s="365"/>
      <c r="F271" s="365"/>
      <c r="G271" s="365"/>
      <c r="H271" s="365"/>
      <c r="I271" s="365"/>
      <c r="J271" s="365"/>
      <c r="K271" s="365"/>
      <c r="L271" s="365"/>
      <c r="M271" s="365"/>
      <c r="N271" s="365"/>
      <c r="O271" s="365"/>
      <c r="P271" s="365"/>
      <c r="Q271" s="365"/>
      <c r="R271" s="365"/>
      <c r="S271" s="365"/>
      <c r="T271" s="365"/>
      <c r="U271" s="365"/>
      <c r="V271" s="365"/>
      <c r="W271" s="365"/>
      <c r="X271" s="365"/>
      <c r="Y271" s="365"/>
      <c r="Z271" s="365"/>
      <c r="AA271" s="365"/>
      <c r="AB271" s="365"/>
      <c r="AC271" s="365"/>
      <c r="AD271" s="365"/>
    </row>
    <row r="272" spans="1:30" s="352" customFormat="1">
      <c r="A272" s="364"/>
      <c r="B272" s="364"/>
      <c r="C272" s="365"/>
      <c r="D272" s="365"/>
      <c r="E272" s="365"/>
      <c r="F272" s="365"/>
      <c r="G272" s="365"/>
      <c r="H272" s="365"/>
      <c r="I272" s="365"/>
      <c r="J272" s="365"/>
      <c r="K272" s="365"/>
      <c r="L272" s="365"/>
      <c r="M272" s="365"/>
      <c r="N272" s="365"/>
      <c r="O272" s="365"/>
      <c r="P272" s="365"/>
      <c r="Q272" s="365"/>
      <c r="R272" s="365"/>
      <c r="S272" s="365"/>
      <c r="T272" s="365"/>
      <c r="U272" s="365"/>
      <c r="V272" s="365"/>
      <c r="W272" s="365"/>
      <c r="X272" s="365"/>
      <c r="Y272" s="365"/>
      <c r="Z272" s="365"/>
      <c r="AA272" s="365"/>
      <c r="AB272" s="365"/>
      <c r="AC272" s="365"/>
      <c r="AD272" s="365"/>
    </row>
    <row r="273" spans="1:30" s="352" customFormat="1">
      <c r="A273" s="364"/>
      <c r="B273" s="364"/>
      <c r="C273" s="365"/>
      <c r="D273" s="365"/>
      <c r="E273" s="365"/>
      <c r="F273" s="365"/>
      <c r="G273" s="365"/>
      <c r="H273" s="365"/>
      <c r="I273" s="365"/>
      <c r="J273" s="365"/>
      <c r="K273" s="365"/>
      <c r="L273" s="365"/>
      <c r="M273" s="365"/>
      <c r="N273" s="365"/>
      <c r="O273" s="365"/>
      <c r="P273" s="365"/>
      <c r="Q273" s="365"/>
      <c r="R273" s="365"/>
      <c r="S273" s="365"/>
      <c r="T273" s="365"/>
      <c r="U273" s="365"/>
      <c r="V273" s="365"/>
      <c r="W273" s="365"/>
      <c r="X273" s="365"/>
      <c r="Y273" s="365"/>
      <c r="Z273" s="365"/>
      <c r="AA273" s="365"/>
      <c r="AB273" s="365"/>
      <c r="AC273" s="365"/>
      <c r="AD273" s="365"/>
    </row>
    <row r="274" spans="1:30" s="352" customFormat="1">
      <c r="A274" s="364"/>
      <c r="B274" s="364"/>
      <c r="C274" s="365"/>
      <c r="D274" s="365"/>
      <c r="E274" s="365"/>
      <c r="F274" s="365"/>
      <c r="G274" s="365"/>
      <c r="H274" s="365"/>
      <c r="I274" s="365"/>
      <c r="J274" s="365"/>
      <c r="K274" s="365"/>
      <c r="L274" s="365"/>
      <c r="M274" s="365"/>
      <c r="N274" s="365"/>
      <c r="O274" s="365"/>
      <c r="P274" s="365"/>
      <c r="Q274" s="365"/>
      <c r="R274" s="365"/>
      <c r="S274" s="365"/>
      <c r="T274" s="365"/>
      <c r="U274" s="365"/>
      <c r="V274" s="365"/>
      <c r="W274" s="365"/>
      <c r="X274" s="365"/>
      <c r="Y274" s="365"/>
      <c r="Z274" s="365"/>
      <c r="AA274" s="365"/>
      <c r="AB274" s="365"/>
      <c r="AC274" s="365"/>
      <c r="AD274" s="365"/>
    </row>
    <row r="275" spans="1:30" s="352" customFormat="1">
      <c r="A275" s="364"/>
      <c r="B275" s="364"/>
      <c r="C275" s="365"/>
      <c r="D275" s="365"/>
      <c r="E275" s="365"/>
      <c r="F275" s="365"/>
      <c r="G275" s="365"/>
      <c r="H275" s="365"/>
      <c r="I275" s="365"/>
      <c r="J275" s="365"/>
      <c r="K275" s="365"/>
      <c r="L275" s="365"/>
      <c r="M275" s="365"/>
      <c r="N275" s="365"/>
      <c r="O275" s="365"/>
      <c r="P275" s="365"/>
      <c r="Q275" s="365"/>
      <c r="R275" s="365"/>
      <c r="S275" s="365"/>
      <c r="T275" s="365"/>
      <c r="U275" s="365"/>
      <c r="V275" s="365"/>
      <c r="W275" s="365"/>
      <c r="X275" s="365"/>
      <c r="Y275" s="365"/>
      <c r="Z275" s="365"/>
      <c r="AA275" s="365"/>
      <c r="AB275" s="365"/>
      <c r="AC275" s="365"/>
      <c r="AD275" s="365"/>
    </row>
    <row r="276" spans="1:30" s="352" customFormat="1">
      <c r="A276" s="364"/>
      <c r="B276" s="364"/>
      <c r="C276" s="365"/>
      <c r="D276" s="365"/>
      <c r="E276" s="365"/>
      <c r="F276" s="365"/>
      <c r="G276" s="365"/>
      <c r="H276" s="365"/>
      <c r="I276" s="365"/>
      <c r="J276" s="365"/>
      <c r="K276" s="365"/>
      <c r="L276" s="365"/>
      <c r="M276" s="365"/>
      <c r="N276" s="365"/>
      <c r="O276" s="365"/>
      <c r="P276" s="365"/>
      <c r="Q276" s="365"/>
      <c r="R276" s="365"/>
      <c r="S276" s="365"/>
      <c r="T276" s="365"/>
      <c r="U276" s="365"/>
      <c r="V276" s="365"/>
      <c r="W276" s="365"/>
      <c r="X276" s="365"/>
      <c r="Y276" s="365"/>
      <c r="Z276" s="365"/>
      <c r="AA276" s="365"/>
      <c r="AB276" s="365"/>
      <c r="AC276" s="365"/>
      <c r="AD276" s="365"/>
    </row>
    <row r="277" spans="1:30" s="352" customFormat="1">
      <c r="A277" s="364"/>
      <c r="B277" s="364"/>
      <c r="C277" s="365"/>
      <c r="D277" s="365"/>
      <c r="E277" s="365"/>
      <c r="F277" s="365"/>
      <c r="G277" s="365"/>
      <c r="H277" s="365"/>
      <c r="I277" s="365"/>
      <c r="J277" s="365"/>
      <c r="K277" s="365"/>
      <c r="L277" s="365"/>
      <c r="M277" s="365"/>
      <c r="N277" s="365"/>
      <c r="O277" s="365"/>
      <c r="P277" s="365"/>
      <c r="Q277" s="365"/>
      <c r="R277" s="365"/>
      <c r="S277" s="365"/>
      <c r="T277" s="365"/>
      <c r="U277" s="365"/>
      <c r="V277" s="365"/>
      <c r="W277" s="365"/>
      <c r="X277" s="365"/>
      <c r="Y277" s="365"/>
      <c r="Z277" s="365"/>
      <c r="AA277" s="365"/>
      <c r="AB277" s="365"/>
      <c r="AC277" s="365"/>
      <c r="AD277" s="365"/>
    </row>
    <row r="278" spans="1:30" s="352" customFormat="1">
      <c r="A278" s="364"/>
      <c r="B278" s="364"/>
      <c r="C278" s="365"/>
      <c r="D278" s="365"/>
      <c r="E278" s="365"/>
      <c r="F278" s="365"/>
      <c r="G278" s="365"/>
      <c r="H278" s="365"/>
      <c r="I278" s="365"/>
      <c r="J278" s="365"/>
      <c r="K278" s="365"/>
      <c r="L278" s="365"/>
      <c r="M278" s="365"/>
      <c r="N278" s="365"/>
      <c r="O278" s="365"/>
      <c r="P278" s="365"/>
      <c r="Q278" s="365"/>
      <c r="R278" s="365"/>
      <c r="S278" s="365"/>
      <c r="T278" s="365"/>
      <c r="U278" s="365"/>
      <c r="V278" s="365"/>
      <c r="W278" s="365"/>
      <c r="X278" s="365"/>
      <c r="Y278" s="365"/>
      <c r="Z278" s="365"/>
      <c r="AA278" s="365"/>
      <c r="AB278" s="365"/>
      <c r="AC278" s="365"/>
      <c r="AD278" s="365"/>
    </row>
    <row r="279" spans="1:30" s="352" customFormat="1">
      <c r="A279" s="364"/>
      <c r="B279" s="364"/>
      <c r="C279" s="365"/>
      <c r="D279" s="365"/>
      <c r="E279" s="365"/>
      <c r="F279" s="365"/>
      <c r="G279" s="365"/>
      <c r="H279" s="365"/>
      <c r="I279" s="365"/>
      <c r="J279" s="365"/>
      <c r="K279" s="365"/>
      <c r="L279" s="365"/>
      <c r="M279" s="365"/>
      <c r="N279" s="365"/>
      <c r="O279" s="365"/>
      <c r="P279" s="365"/>
      <c r="Q279" s="365"/>
      <c r="R279" s="365"/>
      <c r="S279" s="365"/>
      <c r="T279" s="365"/>
      <c r="U279" s="365"/>
      <c r="V279" s="365"/>
      <c r="W279" s="365"/>
      <c r="X279" s="365"/>
      <c r="Y279" s="365"/>
      <c r="Z279" s="365"/>
      <c r="AA279" s="365"/>
      <c r="AB279" s="365"/>
      <c r="AC279" s="365"/>
      <c r="AD279" s="365"/>
    </row>
    <row r="280" spans="1:30" s="352" customFormat="1">
      <c r="A280" s="364"/>
      <c r="B280" s="364"/>
      <c r="C280" s="365"/>
      <c r="D280" s="365"/>
      <c r="E280" s="365"/>
      <c r="F280" s="365"/>
      <c r="G280" s="365"/>
      <c r="H280" s="365"/>
      <c r="I280" s="365"/>
      <c r="J280" s="365"/>
      <c r="K280" s="365"/>
      <c r="L280" s="365"/>
      <c r="M280" s="365"/>
      <c r="N280" s="365"/>
      <c r="O280" s="365"/>
      <c r="P280" s="365"/>
      <c r="Q280" s="365"/>
      <c r="R280" s="365"/>
      <c r="S280" s="365"/>
      <c r="T280" s="365"/>
      <c r="U280" s="365"/>
      <c r="V280" s="365"/>
      <c r="W280" s="365"/>
      <c r="X280" s="365"/>
      <c r="Y280" s="365"/>
      <c r="Z280" s="365"/>
      <c r="AA280" s="365"/>
      <c r="AB280" s="365"/>
      <c r="AC280" s="365"/>
      <c r="AD280" s="365"/>
    </row>
    <row r="281" spans="1:30" s="352" customFormat="1">
      <c r="A281" s="364"/>
      <c r="B281" s="364"/>
      <c r="C281" s="365"/>
      <c r="D281" s="365"/>
      <c r="E281" s="365"/>
      <c r="F281" s="365"/>
      <c r="G281" s="365"/>
      <c r="H281" s="365"/>
      <c r="I281" s="365"/>
      <c r="J281" s="365"/>
      <c r="K281" s="365"/>
      <c r="L281" s="365"/>
      <c r="M281" s="365"/>
      <c r="N281" s="365"/>
      <c r="O281" s="365"/>
      <c r="P281" s="365"/>
      <c r="Q281" s="365"/>
      <c r="R281" s="365"/>
      <c r="S281" s="365"/>
      <c r="T281" s="365"/>
      <c r="U281" s="365"/>
      <c r="V281" s="365"/>
      <c r="W281" s="365"/>
      <c r="X281" s="365"/>
      <c r="Y281" s="365"/>
      <c r="Z281" s="365"/>
      <c r="AA281" s="365"/>
      <c r="AB281" s="365"/>
      <c r="AC281" s="365"/>
      <c r="AD281" s="365"/>
    </row>
    <row r="282" spans="1:30" s="352" customFormat="1">
      <c r="A282" s="364"/>
      <c r="B282" s="364"/>
      <c r="C282" s="365"/>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row>
    <row r="283" spans="1:30" s="352" customFormat="1">
      <c r="A283" s="364"/>
      <c r="B283" s="364"/>
      <c r="C283" s="365"/>
      <c r="D283" s="365"/>
      <c r="E283" s="365"/>
      <c r="F283" s="365"/>
      <c r="G283" s="365"/>
      <c r="H283" s="365"/>
      <c r="I283" s="365"/>
      <c r="J283" s="365"/>
      <c r="K283" s="365"/>
      <c r="L283" s="365"/>
      <c r="M283" s="365"/>
      <c r="N283" s="365"/>
      <c r="O283" s="365"/>
      <c r="P283" s="365"/>
      <c r="Q283" s="365"/>
      <c r="R283" s="365"/>
      <c r="S283" s="365"/>
      <c r="T283" s="365"/>
      <c r="U283" s="365"/>
      <c r="V283" s="365"/>
      <c r="W283" s="365"/>
      <c r="X283" s="365"/>
      <c r="Y283" s="365"/>
      <c r="Z283" s="365"/>
      <c r="AA283" s="365"/>
      <c r="AB283" s="365"/>
      <c r="AC283" s="365"/>
      <c r="AD283" s="365"/>
    </row>
    <row r="284" spans="1:30" s="352" customFormat="1">
      <c r="A284" s="364"/>
      <c r="B284" s="364"/>
      <c r="C284" s="365"/>
      <c r="D284" s="365"/>
      <c r="E284" s="365"/>
      <c r="F284" s="365"/>
      <c r="G284" s="365"/>
      <c r="H284" s="365"/>
      <c r="I284" s="365"/>
      <c r="J284" s="365"/>
      <c r="K284" s="365"/>
      <c r="L284" s="365"/>
      <c r="M284" s="365"/>
      <c r="N284" s="365"/>
      <c r="O284" s="365"/>
      <c r="P284" s="365"/>
      <c r="Q284" s="365"/>
      <c r="R284" s="365"/>
      <c r="S284" s="365"/>
      <c r="T284" s="365"/>
      <c r="U284" s="365"/>
      <c r="V284" s="365"/>
      <c r="W284" s="365"/>
      <c r="X284" s="365"/>
      <c r="Y284" s="365"/>
      <c r="Z284" s="365"/>
      <c r="AA284" s="365"/>
      <c r="AB284" s="365"/>
      <c r="AC284" s="365"/>
      <c r="AD284" s="365"/>
    </row>
    <row r="285" spans="1:30" s="352" customFormat="1">
      <c r="A285" s="364"/>
      <c r="B285" s="364"/>
      <c r="C285" s="365"/>
      <c r="D285" s="365"/>
      <c r="E285" s="365"/>
      <c r="F285" s="365"/>
      <c r="G285" s="365"/>
      <c r="H285" s="365"/>
      <c r="I285" s="365"/>
      <c r="J285" s="365"/>
      <c r="K285" s="365"/>
      <c r="L285" s="365"/>
      <c r="M285" s="365"/>
      <c r="N285" s="365"/>
      <c r="O285" s="365"/>
      <c r="P285" s="365"/>
      <c r="Q285" s="365"/>
      <c r="R285" s="365"/>
      <c r="S285" s="365"/>
      <c r="T285" s="365"/>
      <c r="U285" s="365"/>
      <c r="V285" s="365"/>
      <c r="W285" s="365"/>
      <c r="X285" s="365"/>
      <c r="Y285" s="365"/>
      <c r="Z285" s="365"/>
      <c r="AA285" s="365"/>
      <c r="AB285" s="365"/>
      <c r="AC285" s="365"/>
      <c r="AD285" s="365"/>
    </row>
    <row r="286" spans="1:30" s="352" customFormat="1">
      <c r="A286" s="364"/>
      <c r="B286" s="364"/>
      <c r="C286" s="365"/>
      <c r="D286" s="365"/>
      <c r="E286" s="365"/>
      <c r="F286" s="365"/>
      <c r="G286" s="365"/>
      <c r="H286" s="365"/>
      <c r="I286" s="365"/>
      <c r="J286" s="365"/>
      <c r="K286" s="365"/>
      <c r="L286" s="365"/>
      <c r="M286" s="365"/>
      <c r="N286" s="365"/>
      <c r="O286" s="365"/>
      <c r="P286" s="365"/>
      <c r="Q286" s="365"/>
      <c r="R286" s="365"/>
      <c r="S286" s="365"/>
      <c r="T286" s="365"/>
      <c r="U286" s="365"/>
      <c r="V286" s="365"/>
      <c r="W286" s="365"/>
      <c r="X286" s="365"/>
      <c r="Y286" s="365"/>
      <c r="Z286" s="365"/>
      <c r="AA286" s="365"/>
      <c r="AB286" s="365"/>
      <c r="AC286" s="365"/>
      <c r="AD286" s="365"/>
    </row>
    <row r="287" spans="1:30" s="352" customFormat="1">
      <c r="A287" s="364"/>
      <c r="B287" s="364"/>
      <c r="C287" s="365"/>
      <c r="D287" s="365"/>
      <c r="E287" s="365"/>
      <c r="F287" s="365"/>
      <c r="G287" s="365"/>
      <c r="H287" s="365"/>
      <c r="I287" s="365"/>
      <c r="J287" s="365"/>
      <c r="K287" s="365"/>
      <c r="L287" s="365"/>
      <c r="M287" s="365"/>
      <c r="N287" s="365"/>
      <c r="O287" s="365"/>
      <c r="P287" s="365"/>
      <c r="Q287" s="365"/>
      <c r="R287" s="365"/>
      <c r="S287" s="365"/>
      <c r="T287" s="365"/>
      <c r="U287" s="365"/>
      <c r="V287" s="365"/>
      <c r="W287" s="365"/>
      <c r="X287" s="365"/>
      <c r="Y287" s="365"/>
      <c r="Z287" s="365"/>
      <c r="AA287" s="365"/>
      <c r="AB287" s="365"/>
      <c r="AC287" s="365"/>
      <c r="AD287" s="365"/>
    </row>
    <row r="288" spans="1:30" s="352" customFormat="1">
      <c r="A288" s="364"/>
      <c r="B288" s="364"/>
      <c r="C288" s="365"/>
      <c r="D288" s="365"/>
      <c r="E288" s="365"/>
      <c r="F288" s="365"/>
      <c r="G288" s="365"/>
      <c r="H288" s="365"/>
      <c r="I288" s="365"/>
      <c r="J288" s="365"/>
      <c r="K288" s="365"/>
      <c r="L288" s="365"/>
      <c r="M288" s="365"/>
      <c r="N288" s="365"/>
      <c r="O288" s="365"/>
      <c r="P288" s="365"/>
      <c r="Q288" s="365"/>
      <c r="R288" s="365"/>
      <c r="S288" s="365"/>
      <c r="T288" s="365"/>
      <c r="U288" s="365"/>
      <c r="V288" s="365"/>
      <c r="W288" s="365"/>
      <c r="X288" s="365"/>
      <c r="Y288" s="365"/>
      <c r="Z288" s="365"/>
      <c r="AA288" s="365"/>
      <c r="AB288" s="365"/>
      <c r="AC288" s="365"/>
      <c r="AD288" s="365"/>
    </row>
    <row r="289" spans="1:30" s="352" customFormat="1">
      <c r="A289" s="364"/>
      <c r="B289" s="364"/>
      <c r="C289" s="365"/>
      <c r="D289" s="365"/>
      <c r="E289" s="365"/>
      <c r="F289" s="365"/>
      <c r="G289" s="365"/>
      <c r="H289" s="365"/>
      <c r="I289" s="365"/>
      <c r="J289" s="365"/>
      <c r="K289" s="365"/>
      <c r="L289" s="365"/>
      <c r="M289" s="365"/>
      <c r="N289" s="365"/>
      <c r="O289" s="365"/>
      <c r="P289" s="365"/>
      <c r="Q289" s="365"/>
      <c r="R289" s="365"/>
      <c r="S289" s="365"/>
      <c r="T289" s="365"/>
      <c r="U289" s="365"/>
      <c r="V289" s="365"/>
      <c r="W289" s="365"/>
      <c r="X289" s="365"/>
      <c r="Y289" s="365"/>
      <c r="Z289" s="365"/>
      <c r="AA289" s="365"/>
      <c r="AB289" s="365"/>
      <c r="AC289" s="365"/>
      <c r="AD289" s="365"/>
    </row>
    <row r="290" spans="1:30" s="352" customFormat="1">
      <c r="A290" s="364"/>
      <c r="B290" s="364"/>
      <c r="C290" s="365"/>
      <c r="D290" s="365"/>
      <c r="E290" s="365"/>
      <c r="F290" s="365"/>
      <c r="G290" s="365"/>
      <c r="H290" s="365"/>
      <c r="I290" s="365"/>
      <c r="J290" s="365"/>
      <c r="K290" s="365"/>
      <c r="L290" s="365"/>
      <c r="M290" s="365"/>
      <c r="N290" s="365"/>
      <c r="O290" s="365"/>
      <c r="P290" s="365"/>
      <c r="Q290" s="365"/>
      <c r="R290" s="365"/>
      <c r="S290" s="365"/>
      <c r="T290" s="365"/>
      <c r="U290" s="365"/>
      <c r="V290" s="365"/>
      <c r="W290" s="365"/>
      <c r="X290" s="365"/>
      <c r="Y290" s="365"/>
      <c r="Z290" s="365"/>
      <c r="AA290" s="365"/>
      <c r="AB290" s="365"/>
      <c r="AC290" s="365"/>
      <c r="AD290" s="365"/>
    </row>
    <row r="291" spans="1:30" s="352" customFormat="1">
      <c r="A291" s="364"/>
      <c r="B291" s="364"/>
      <c r="C291" s="365"/>
      <c r="D291" s="365"/>
      <c r="E291" s="365"/>
      <c r="F291" s="365"/>
      <c r="G291" s="365"/>
      <c r="H291" s="365"/>
      <c r="I291" s="365"/>
      <c r="J291" s="365"/>
      <c r="K291" s="365"/>
      <c r="L291" s="365"/>
      <c r="M291" s="365"/>
      <c r="N291" s="365"/>
      <c r="O291" s="365"/>
      <c r="P291" s="365"/>
      <c r="Q291" s="365"/>
      <c r="R291" s="365"/>
      <c r="S291" s="365"/>
      <c r="T291" s="365"/>
      <c r="U291" s="365"/>
      <c r="V291" s="365"/>
      <c r="W291" s="365"/>
      <c r="X291" s="365"/>
      <c r="Y291" s="365"/>
      <c r="Z291" s="365"/>
      <c r="AA291" s="365"/>
      <c r="AB291" s="365"/>
      <c r="AC291" s="365"/>
      <c r="AD291" s="365"/>
    </row>
    <row r="292" spans="1:30" s="352" customFormat="1">
      <c r="A292" s="364"/>
      <c r="B292" s="364"/>
      <c r="C292" s="365"/>
      <c r="D292" s="365"/>
      <c r="E292" s="365"/>
      <c r="F292" s="365"/>
      <c r="G292" s="365"/>
      <c r="H292" s="365"/>
      <c r="I292" s="365"/>
      <c r="J292" s="365"/>
      <c r="K292" s="365"/>
      <c r="L292" s="365"/>
      <c r="M292" s="365"/>
      <c r="N292" s="365"/>
      <c r="O292" s="365"/>
      <c r="P292" s="365"/>
      <c r="Q292" s="365"/>
      <c r="R292" s="365"/>
      <c r="S292" s="365"/>
      <c r="T292" s="365"/>
      <c r="U292" s="365"/>
      <c r="V292" s="365"/>
      <c r="W292" s="365"/>
      <c r="X292" s="365"/>
      <c r="Y292" s="365"/>
      <c r="Z292" s="365"/>
      <c r="AA292" s="365"/>
      <c r="AB292" s="365"/>
      <c r="AC292" s="365"/>
      <c r="AD292" s="365"/>
    </row>
    <row r="293" spans="1:30" s="352" customFormat="1">
      <c r="A293" s="364"/>
      <c r="B293" s="364"/>
      <c r="C293" s="365"/>
      <c r="D293" s="365"/>
      <c r="E293" s="365"/>
      <c r="F293" s="365"/>
      <c r="G293" s="365"/>
      <c r="H293" s="365"/>
      <c r="I293" s="365"/>
      <c r="J293" s="365"/>
      <c r="K293" s="365"/>
      <c r="L293" s="365"/>
      <c r="M293" s="365"/>
      <c r="N293" s="365"/>
      <c r="O293" s="365"/>
      <c r="P293" s="365"/>
      <c r="Q293" s="365"/>
      <c r="R293" s="365"/>
      <c r="S293" s="365"/>
      <c r="T293" s="365"/>
      <c r="U293" s="365"/>
      <c r="V293" s="365"/>
      <c r="W293" s="365"/>
      <c r="X293" s="365"/>
      <c r="Y293" s="365"/>
      <c r="Z293" s="365"/>
      <c r="AA293" s="365"/>
      <c r="AB293" s="365"/>
      <c r="AC293" s="365"/>
      <c r="AD293" s="365"/>
    </row>
    <row r="294" spans="1:30" s="352" customFormat="1">
      <c r="A294" s="364"/>
      <c r="B294" s="364"/>
      <c r="C294" s="365"/>
      <c r="D294" s="365"/>
      <c r="E294" s="365"/>
      <c r="F294" s="365"/>
      <c r="G294" s="365"/>
      <c r="H294" s="365"/>
      <c r="I294" s="365"/>
      <c r="J294" s="365"/>
      <c r="K294" s="365"/>
      <c r="L294" s="365"/>
      <c r="M294" s="365"/>
      <c r="N294" s="365"/>
      <c r="O294" s="365"/>
      <c r="P294" s="365"/>
      <c r="Q294" s="365"/>
      <c r="R294" s="365"/>
      <c r="S294" s="365"/>
      <c r="T294" s="365"/>
      <c r="U294" s="365"/>
      <c r="V294" s="365"/>
      <c r="W294" s="365"/>
      <c r="X294" s="365"/>
      <c r="Y294" s="365"/>
      <c r="Z294" s="365"/>
      <c r="AA294" s="365"/>
      <c r="AB294" s="365"/>
      <c r="AC294" s="365"/>
      <c r="AD294" s="365"/>
    </row>
    <row r="295" spans="1:30" s="352" customFormat="1">
      <c r="A295" s="364"/>
      <c r="B295" s="364"/>
      <c r="C295" s="365"/>
      <c r="D295" s="365"/>
      <c r="E295" s="365"/>
      <c r="F295" s="365"/>
      <c r="G295" s="365"/>
      <c r="H295" s="365"/>
      <c r="I295" s="365"/>
      <c r="J295" s="365"/>
      <c r="K295" s="365"/>
      <c r="L295" s="365"/>
      <c r="M295" s="365"/>
      <c r="N295" s="365"/>
      <c r="O295" s="365"/>
      <c r="P295" s="365"/>
      <c r="Q295" s="365"/>
      <c r="R295" s="365"/>
      <c r="S295" s="365"/>
      <c r="T295" s="365"/>
      <c r="U295" s="365"/>
      <c r="V295" s="365"/>
      <c r="W295" s="365"/>
      <c r="X295" s="365"/>
      <c r="Y295" s="365"/>
      <c r="Z295" s="365"/>
      <c r="AA295" s="365"/>
      <c r="AB295" s="365"/>
      <c r="AC295" s="365"/>
      <c r="AD295" s="365"/>
    </row>
    <row r="296" spans="1:30" s="352" customFormat="1">
      <c r="A296" s="364"/>
      <c r="B296" s="364"/>
      <c r="C296" s="365"/>
      <c r="D296" s="365"/>
      <c r="E296" s="365"/>
      <c r="F296" s="365"/>
      <c r="G296" s="365"/>
      <c r="H296" s="365"/>
      <c r="I296" s="365"/>
      <c r="J296" s="365"/>
      <c r="K296" s="365"/>
      <c r="L296" s="365"/>
      <c r="M296" s="365"/>
      <c r="N296" s="365"/>
      <c r="O296" s="365"/>
      <c r="P296" s="365"/>
      <c r="Q296" s="365"/>
      <c r="R296" s="365"/>
      <c r="S296" s="365"/>
      <c r="T296" s="365"/>
      <c r="U296" s="365"/>
      <c r="V296" s="365"/>
      <c r="W296" s="365"/>
      <c r="X296" s="365"/>
      <c r="Y296" s="365"/>
      <c r="Z296" s="365"/>
      <c r="AA296" s="365"/>
      <c r="AB296" s="365"/>
      <c r="AC296" s="365"/>
      <c r="AD296" s="365"/>
    </row>
    <row r="297" spans="1:30" s="352" customFormat="1">
      <c r="A297" s="364"/>
      <c r="B297" s="364"/>
      <c r="C297" s="365"/>
      <c r="D297" s="365"/>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row>
    <row r="298" spans="1:30" s="352" customFormat="1">
      <c r="A298" s="364"/>
      <c r="B298" s="364"/>
      <c r="C298" s="365"/>
      <c r="D298" s="365"/>
      <c r="E298" s="365"/>
      <c r="F298" s="365"/>
      <c r="G298" s="365"/>
      <c r="H298" s="365"/>
      <c r="I298" s="365"/>
      <c r="J298" s="365"/>
      <c r="K298" s="365"/>
      <c r="L298" s="365"/>
      <c r="M298" s="365"/>
      <c r="N298" s="365"/>
      <c r="O298" s="365"/>
      <c r="P298" s="365"/>
      <c r="Q298" s="365"/>
      <c r="R298" s="365"/>
      <c r="S298" s="365"/>
      <c r="T298" s="365"/>
      <c r="U298" s="365"/>
      <c r="V298" s="365"/>
      <c r="W298" s="365"/>
      <c r="X298" s="365"/>
      <c r="Y298" s="365"/>
      <c r="Z298" s="365"/>
      <c r="AA298" s="365"/>
      <c r="AB298" s="365"/>
      <c r="AC298" s="365"/>
      <c r="AD298" s="365"/>
    </row>
    <row r="299" spans="1:30" s="352" customFormat="1">
      <c r="A299" s="364"/>
      <c r="B299" s="364"/>
      <c r="C299" s="365"/>
      <c r="D299" s="365"/>
      <c r="E299" s="365"/>
      <c r="F299" s="365"/>
      <c r="G299" s="365"/>
      <c r="H299" s="365"/>
      <c r="I299" s="365"/>
      <c r="J299" s="365"/>
      <c r="K299" s="365"/>
      <c r="L299" s="365"/>
      <c r="M299" s="365"/>
      <c r="N299" s="365"/>
      <c r="O299" s="365"/>
      <c r="P299" s="365"/>
      <c r="Q299" s="365"/>
      <c r="R299" s="365"/>
      <c r="S299" s="365"/>
      <c r="T299" s="365"/>
      <c r="U299" s="365"/>
      <c r="V299" s="365"/>
      <c r="W299" s="365"/>
      <c r="X299" s="365"/>
      <c r="Y299" s="365"/>
      <c r="Z299" s="365"/>
      <c r="AA299" s="365"/>
      <c r="AB299" s="365"/>
      <c r="AC299" s="365"/>
      <c r="AD299" s="365"/>
    </row>
    <row r="300" spans="1:30" s="352" customFormat="1">
      <c r="A300" s="364"/>
      <c r="B300" s="364"/>
      <c r="C300" s="365"/>
      <c r="D300" s="365"/>
      <c r="E300" s="365"/>
      <c r="F300" s="365"/>
      <c r="G300" s="365"/>
      <c r="H300" s="365"/>
      <c r="I300" s="365"/>
      <c r="J300" s="365"/>
      <c r="K300" s="365"/>
      <c r="L300" s="365"/>
      <c r="M300" s="365"/>
      <c r="N300" s="365"/>
      <c r="O300" s="365"/>
      <c r="P300" s="365"/>
      <c r="Q300" s="365"/>
      <c r="R300" s="365"/>
      <c r="S300" s="365"/>
      <c r="T300" s="365"/>
      <c r="U300" s="365"/>
      <c r="V300" s="365"/>
      <c r="W300" s="365"/>
      <c r="X300" s="365"/>
      <c r="Y300" s="365"/>
      <c r="Z300" s="365"/>
      <c r="AA300" s="365"/>
      <c r="AB300" s="365"/>
      <c r="AC300" s="365"/>
      <c r="AD300" s="365"/>
    </row>
    <row r="301" spans="1:30" s="352" customFormat="1">
      <c r="A301" s="364"/>
      <c r="B301" s="364"/>
      <c r="C301" s="365"/>
      <c r="D301" s="365"/>
      <c r="E301" s="365"/>
      <c r="F301" s="365"/>
      <c r="G301" s="365"/>
      <c r="H301" s="365"/>
      <c r="I301" s="365"/>
      <c r="J301" s="365"/>
      <c r="K301" s="365"/>
      <c r="L301" s="365"/>
      <c r="M301" s="365"/>
      <c r="N301" s="365"/>
      <c r="O301" s="365"/>
      <c r="P301" s="365"/>
      <c r="Q301" s="365"/>
      <c r="R301" s="365"/>
      <c r="S301" s="365"/>
      <c r="T301" s="365"/>
      <c r="U301" s="365"/>
      <c r="V301" s="365"/>
      <c r="W301" s="365"/>
      <c r="X301" s="365"/>
      <c r="Y301" s="365"/>
      <c r="Z301" s="365"/>
      <c r="AA301" s="365"/>
      <c r="AB301" s="365"/>
      <c r="AC301" s="365"/>
      <c r="AD301" s="365"/>
    </row>
    <row r="302" spans="1:30" s="352" customFormat="1">
      <c r="A302" s="364"/>
      <c r="B302" s="364"/>
      <c r="C302" s="365"/>
      <c r="D302" s="365"/>
      <c r="E302" s="365"/>
      <c r="F302" s="365"/>
      <c r="G302" s="365"/>
      <c r="H302" s="365"/>
      <c r="I302" s="365"/>
      <c r="J302" s="365"/>
      <c r="K302" s="365"/>
      <c r="L302" s="365"/>
      <c r="M302" s="365"/>
      <c r="N302" s="365"/>
      <c r="O302" s="365"/>
      <c r="P302" s="365"/>
      <c r="Q302" s="365"/>
      <c r="R302" s="365"/>
      <c r="S302" s="365"/>
      <c r="T302" s="365"/>
      <c r="U302" s="365"/>
      <c r="V302" s="365"/>
      <c r="W302" s="365"/>
      <c r="X302" s="365"/>
      <c r="Y302" s="365"/>
      <c r="Z302" s="365"/>
      <c r="AA302" s="365"/>
      <c r="AB302" s="365"/>
      <c r="AC302" s="365"/>
      <c r="AD302" s="365"/>
    </row>
    <row r="303" spans="1:30" s="352" customFormat="1">
      <c r="A303" s="364"/>
      <c r="B303" s="364"/>
      <c r="C303" s="365"/>
      <c r="D303" s="365"/>
      <c r="E303" s="365"/>
      <c r="F303" s="365"/>
      <c r="G303" s="365"/>
      <c r="H303" s="365"/>
      <c r="I303" s="365"/>
      <c r="J303" s="365"/>
      <c r="K303" s="365"/>
      <c r="L303" s="365"/>
      <c r="M303" s="365"/>
      <c r="N303" s="365"/>
      <c r="O303" s="365"/>
      <c r="P303" s="365"/>
      <c r="Q303" s="365"/>
      <c r="R303" s="365"/>
      <c r="S303" s="365"/>
      <c r="T303" s="365"/>
      <c r="U303" s="365"/>
      <c r="V303" s="365"/>
      <c r="W303" s="365"/>
      <c r="X303" s="365"/>
      <c r="Y303" s="365"/>
      <c r="Z303" s="365"/>
      <c r="AA303" s="365"/>
      <c r="AB303" s="365"/>
      <c r="AC303" s="365"/>
      <c r="AD303" s="365"/>
    </row>
    <row r="304" spans="1:30" s="352" customFormat="1">
      <c r="A304" s="364"/>
      <c r="B304" s="364"/>
      <c r="C304" s="365"/>
      <c r="D304" s="365"/>
      <c r="E304" s="365"/>
      <c r="F304" s="365"/>
      <c r="G304" s="365"/>
      <c r="H304" s="365"/>
      <c r="I304" s="365"/>
      <c r="J304" s="365"/>
      <c r="K304" s="365"/>
      <c r="L304" s="365"/>
      <c r="M304" s="365"/>
      <c r="N304" s="365"/>
      <c r="O304" s="365"/>
      <c r="P304" s="365"/>
      <c r="Q304" s="365"/>
      <c r="R304" s="365"/>
      <c r="S304" s="365"/>
      <c r="T304" s="365"/>
      <c r="U304" s="365"/>
      <c r="V304" s="365"/>
      <c r="W304" s="365"/>
      <c r="X304" s="365"/>
      <c r="Y304" s="365"/>
      <c r="Z304" s="365"/>
      <c r="AA304" s="365"/>
      <c r="AB304" s="365"/>
      <c r="AC304" s="365"/>
      <c r="AD304" s="365"/>
    </row>
    <row r="305" spans="1:30" s="352" customFormat="1">
      <c r="A305" s="364"/>
      <c r="B305" s="364"/>
      <c r="C305" s="365"/>
      <c r="D305" s="365"/>
      <c r="E305" s="365"/>
      <c r="F305" s="365"/>
      <c r="G305" s="365"/>
      <c r="H305" s="365"/>
      <c r="I305" s="365"/>
      <c r="J305" s="365"/>
      <c r="K305" s="365"/>
      <c r="L305" s="365"/>
      <c r="M305" s="365"/>
      <c r="N305" s="365"/>
      <c r="O305" s="365"/>
      <c r="P305" s="365"/>
      <c r="Q305" s="365"/>
      <c r="R305" s="365"/>
      <c r="S305" s="365"/>
      <c r="T305" s="365"/>
      <c r="U305" s="365"/>
      <c r="V305" s="365"/>
      <c r="W305" s="365"/>
      <c r="X305" s="365"/>
      <c r="Y305" s="365"/>
      <c r="Z305" s="365"/>
      <c r="AA305" s="365"/>
      <c r="AB305" s="365"/>
      <c r="AC305" s="365"/>
      <c r="AD305" s="365"/>
    </row>
    <row r="306" spans="1:30" s="352" customFormat="1">
      <c r="A306" s="364"/>
      <c r="B306" s="364"/>
      <c r="C306" s="365"/>
      <c r="D306" s="365"/>
      <c r="E306" s="365"/>
      <c r="F306" s="365"/>
      <c r="G306" s="365"/>
      <c r="H306" s="365"/>
      <c r="I306" s="365"/>
      <c r="J306" s="365"/>
      <c r="K306" s="365"/>
      <c r="L306" s="365"/>
      <c r="M306" s="365"/>
      <c r="N306" s="365"/>
      <c r="O306" s="365"/>
      <c r="P306" s="365"/>
      <c r="Q306" s="365"/>
      <c r="R306" s="365"/>
      <c r="S306" s="365"/>
      <c r="T306" s="365"/>
      <c r="U306" s="365"/>
      <c r="V306" s="365"/>
      <c r="W306" s="365"/>
      <c r="X306" s="365"/>
      <c r="Y306" s="365"/>
      <c r="Z306" s="365"/>
      <c r="AA306" s="365"/>
      <c r="AB306" s="365"/>
      <c r="AC306" s="365"/>
      <c r="AD306" s="365"/>
    </row>
    <row r="307" spans="1:30" s="352" customFormat="1">
      <c r="A307" s="364"/>
      <c r="B307" s="364"/>
      <c r="C307" s="365"/>
      <c r="D307" s="365"/>
      <c r="E307" s="365"/>
      <c r="F307" s="365"/>
      <c r="G307" s="365"/>
      <c r="H307" s="365"/>
      <c r="I307" s="365"/>
      <c r="J307" s="365"/>
      <c r="K307" s="365"/>
      <c r="L307" s="365"/>
      <c r="M307" s="365"/>
      <c r="N307" s="365"/>
      <c r="O307" s="365"/>
      <c r="P307" s="365"/>
      <c r="Q307" s="365"/>
      <c r="R307" s="365"/>
      <c r="S307" s="365"/>
      <c r="T307" s="365"/>
      <c r="U307" s="365"/>
      <c r="V307" s="365"/>
      <c r="W307" s="365"/>
      <c r="X307" s="365"/>
      <c r="Y307" s="365"/>
      <c r="Z307" s="365"/>
      <c r="AA307" s="365"/>
      <c r="AB307" s="365"/>
      <c r="AC307" s="365"/>
      <c r="AD307" s="365"/>
    </row>
    <row r="308" spans="1:30" s="352" customFormat="1">
      <c r="A308" s="364"/>
      <c r="B308" s="364"/>
      <c r="C308" s="365"/>
      <c r="D308" s="365"/>
      <c r="E308" s="365"/>
      <c r="F308" s="365"/>
      <c r="G308" s="365"/>
      <c r="H308" s="365"/>
      <c r="I308" s="365"/>
      <c r="J308" s="365"/>
      <c r="K308" s="365"/>
      <c r="L308" s="365"/>
      <c r="M308" s="365"/>
      <c r="N308" s="365"/>
      <c r="O308" s="365"/>
      <c r="P308" s="365"/>
      <c r="Q308" s="365"/>
      <c r="R308" s="365"/>
      <c r="S308" s="365"/>
      <c r="T308" s="365"/>
      <c r="U308" s="365"/>
      <c r="V308" s="365"/>
      <c r="W308" s="365"/>
      <c r="X308" s="365"/>
      <c r="Y308" s="365"/>
      <c r="Z308" s="365"/>
      <c r="AA308" s="365"/>
      <c r="AB308" s="365"/>
      <c r="AC308" s="365"/>
      <c r="AD308" s="365"/>
    </row>
    <row r="309" spans="1:30" s="352" customFormat="1">
      <c r="A309" s="364"/>
      <c r="B309" s="364"/>
      <c r="C309" s="365"/>
      <c r="D309" s="365"/>
      <c r="E309" s="365"/>
      <c r="F309" s="365"/>
      <c r="G309" s="365"/>
      <c r="H309" s="365"/>
      <c r="I309" s="365"/>
      <c r="J309" s="365"/>
      <c r="K309" s="365"/>
      <c r="L309" s="365"/>
      <c r="M309" s="365"/>
      <c r="N309" s="365"/>
      <c r="O309" s="365"/>
      <c r="P309" s="365"/>
      <c r="Q309" s="365"/>
      <c r="R309" s="365"/>
      <c r="S309" s="365"/>
      <c r="T309" s="365"/>
      <c r="U309" s="365"/>
      <c r="V309" s="365"/>
      <c r="W309" s="365"/>
      <c r="X309" s="365"/>
      <c r="Y309" s="365"/>
      <c r="Z309" s="365"/>
      <c r="AA309" s="365"/>
      <c r="AB309" s="365"/>
      <c r="AC309" s="365"/>
      <c r="AD309" s="365"/>
    </row>
    <row r="310" spans="1:30" s="352" customFormat="1">
      <c r="A310" s="364"/>
      <c r="B310" s="364"/>
      <c r="C310" s="365"/>
      <c r="D310" s="365"/>
      <c r="E310" s="365"/>
      <c r="F310" s="365"/>
      <c r="G310" s="365"/>
      <c r="H310" s="365"/>
      <c r="I310" s="365"/>
      <c r="J310" s="365"/>
      <c r="K310" s="365"/>
      <c r="L310" s="365"/>
      <c r="M310" s="365"/>
      <c r="N310" s="365"/>
      <c r="O310" s="365"/>
      <c r="P310" s="365"/>
      <c r="Q310" s="365"/>
      <c r="R310" s="365"/>
      <c r="S310" s="365"/>
      <c r="T310" s="365"/>
      <c r="U310" s="365"/>
      <c r="V310" s="365"/>
      <c r="W310" s="365"/>
      <c r="X310" s="365"/>
      <c r="Y310" s="365"/>
      <c r="Z310" s="365"/>
      <c r="AA310" s="365"/>
      <c r="AB310" s="365"/>
      <c r="AC310" s="365"/>
      <c r="AD310" s="365"/>
    </row>
    <row r="311" spans="1:30" s="352" customFormat="1">
      <c r="A311" s="364"/>
      <c r="B311" s="364"/>
      <c r="C311" s="365"/>
      <c r="D311" s="365"/>
      <c r="E311" s="365"/>
      <c r="F311" s="365"/>
      <c r="G311" s="365"/>
      <c r="H311" s="365"/>
      <c r="I311" s="365"/>
      <c r="J311" s="365"/>
      <c r="K311" s="365"/>
      <c r="L311" s="365"/>
      <c r="M311" s="365"/>
      <c r="N311" s="365"/>
      <c r="O311" s="365"/>
      <c r="P311" s="365"/>
      <c r="Q311" s="365"/>
      <c r="R311" s="365"/>
      <c r="S311" s="365"/>
      <c r="T311" s="365"/>
      <c r="U311" s="365"/>
      <c r="V311" s="365"/>
      <c r="W311" s="365"/>
      <c r="X311" s="365"/>
      <c r="Y311" s="365"/>
      <c r="Z311" s="365"/>
      <c r="AA311" s="365"/>
      <c r="AB311" s="365"/>
      <c r="AC311" s="365"/>
      <c r="AD311" s="365"/>
    </row>
    <row r="312" spans="1:30" s="352" customFormat="1">
      <c r="A312" s="364"/>
      <c r="B312" s="364"/>
      <c r="C312" s="365"/>
      <c r="D312" s="365"/>
      <c r="E312" s="365"/>
      <c r="F312" s="365"/>
      <c r="G312" s="365"/>
      <c r="H312" s="365"/>
      <c r="I312" s="365"/>
      <c r="J312" s="365"/>
      <c r="K312" s="365"/>
      <c r="L312" s="365"/>
      <c r="M312" s="365"/>
      <c r="N312" s="365"/>
      <c r="O312" s="365"/>
      <c r="P312" s="365"/>
      <c r="Q312" s="365"/>
      <c r="R312" s="365"/>
      <c r="S312" s="365"/>
      <c r="T312" s="365"/>
      <c r="U312" s="365"/>
      <c r="V312" s="365"/>
      <c r="W312" s="365"/>
      <c r="X312" s="365"/>
      <c r="Y312" s="365"/>
      <c r="Z312" s="365"/>
      <c r="AA312" s="365"/>
      <c r="AB312" s="365"/>
      <c r="AC312" s="365"/>
      <c r="AD312" s="365"/>
    </row>
    <row r="313" spans="1:30" s="352" customFormat="1">
      <c r="A313" s="364"/>
      <c r="B313" s="364"/>
      <c r="C313" s="365"/>
      <c r="D313" s="365"/>
      <c r="E313" s="365"/>
      <c r="F313" s="365"/>
      <c r="G313" s="365"/>
      <c r="H313" s="365"/>
      <c r="I313" s="365"/>
      <c r="J313" s="365"/>
      <c r="K313" s="365"/>
      <c r="L313" s="365"/>
      <c r="M313" s="365"/>
      <c r="N313" s="365"/>
      <c r="O313" s="365"/>
      <c r="P313" s="365"/>
      <c r="Q313" s="365"/>
      <c r="R313" s="365"/>
      <c r="S313" s="365"/>
      <c r="T313" s="365"/>
      <c r="U313" s="365"/>
      <c r="V313" s="365"/>
      <c r="W313" s="365"/>
      <c r="X313" s="365"/>
      <c r="Y313" s="365"/>
      <c r="Z313" s="365"/>
      <c r="AA313" s="365"/>
      <c r="AB313" s="365"/>
      <c r="AC313" s="365"/>
      <c r="AD313" s="365"/>
    </row>
    <row r="314" spans="1:30" s="352" customFormat="1">
      <c r="A314" s="364"/>
      <c r="B314" s="364"/>
      <c r="C314" s="365"/>
      <c r="D314" s="365"/>
      <c r="E314" s="365"/>
      <c r="F314" s="365"/>
      <c r="G314" s="365"/>
      <c r="H314" s="365"/>
      <c r="I314" s="365"/>
      <c r="J314" s="365"/>
      <c r="K314" s="365"/>
      <c r="L314" s="365"/>
      <c r="M314" s="365"/>
      <c r="N314" s="365"/>
      <c r="O314" s="365"/>
      <c r="P314" s="365"/>
      <c r="Q314" s="365"/>
      <c r="R314" s="365"/>
      <c r="S314" s="365"/>
      <c r="T314" s="365"/>
      <c r="U314" s="365"/>
      <c r="V314" s="365"/>
      <c r="W314" s="365"/>
      <c r="X314" s="365"/>
      <c r="Y314" s="365"/>
      <c r="Z314" s="365"/>
      <c r="AA314" s="365"/>
      <c r="AB314" s="365"/>
      <c r="AC314" s="365"/>
      <c r="AD314" s="365"/>
    </row>
    <row r="315" spans="1:30" s="352" customFormat="1">
      <c r="A315" s="364"/>
      <c r="B315" s="364"/>
      <c r="C315" s="365"/>
      <c r="D315" s="365"/>
      <c r="E315" s="365"/>
      <c r="F315" s="365"/>
      <c r="G315" s="365"/>
      <c r="H315" s="365"/>
      <c r="I315" s="365"/>
      <c r="J315" s="365"/>
      <c r="K315" s="365"/>
      <c r="L315" s="365"/>
      <c r="M315" s="365"/>
      <c r="N315" s="365"/>
      <c r="O315" s="365"/>
      <c r="P315" s="365"/>
      <c r="Q315" s="365"/>
      <c r="R315" s="365"/>
      <c r="S315" s="365"/>
      <c r="T315" s="365"/>
      <c r="U315" s="365"/>
      <c r="V315" s="365"/>
      <c r="W315" s="365"/>
      <c r="X315" s="365"/>
      <c r="Y315" s="365"/>
      <c r="Z315" s="365"/>
      <c r="AA315" s="365"/>
      <c r="AB315" s="365"/>
      <c r="AC315" s="365"/>
      <c r="AD315" s="365"/>
    </row>
    <row r="316" spans="1:30" s="352" customFormat="1">
      <c r="A316" s="364"/>
      <c r="B316" s="364"/>
      <c r="C316" s="365"/>
      <c r="D316" s="365"/>
      <c r="E316" s="365"/>
      <c r="F316" s="365"/>
      <c r="G316" s="365"/>
      <c r="H316" s="365"/>
      <c r="I316" s="365"/>
      <c r="J316" s="365"/>
      <c r="K316" s="365"/>
      <c r="L316" s="365"/>
      <c r="M316" s="365"/>
      <c r="N316" s="365"/>
      <c r="O316" s="365"/>
      <c r="P316" s="365"/>
      <c r="Q316" s="365"/>
      <c r="R316" s="365"/>
      <c r="S316" s="365"/>
      <c r="T316" s="365"/>
      <c r="U316" s="365"/>
      <c r="V316" s="365"/>
      <c r="W316" s="365"/>
      <c r="X316" s="365"/>
      <c r="Y316" s="365"/>
      <c r="Z316" s="365"/>
      <c r="AA316" s="365"/>
      <c r="AB316" s="365"/>
      <c r="AC316" s="365"/>
      <c r="AD316" s="365"/>
    </row>
    <row r="317" spans="1:30" s="352" customFormat="1">
      <c r="A317" s="364"/>
      <c r="B317" s="364"/>
      <c r="C317" s="365"/>
      <c r="D317" s="365"/>
      <c r="E317" s="365"/>
      <c r="F317" s="365"/>
      <c r="G317" s="365"/>
      <c r="H317" s="365"/>
      <c r="I317" s="365"/>
      <c r="J317" s="365"/>
      <c r="K317" s="365"/>
      <c r="L317" s="365"/>
      <c r="M317" s="365"/>
      <c r="N317" s="365"/>
      <c r="O317" s="365"/>
      <c r="P317" s="365"/>
      <c r="Q317" s="365"/>
      <c r="R317" s="365"/>
      <c r="S317" s="365"/>
      <c r="T317" s="365"/>
      <c r="U317" s="365"/>
      <c r="V317" s="365"/>
      <c r="W317" s="365"/>
      <c r="X317" s="365"/>
      <c r="Y317" s="365"/>
      <c r="Z317" s="365"/>
      <c r="AA317" s="365"/>
      <c r="AB317" s="365"/>
      <c r="AC317" s="365"/>
      <c r="AD317" s="365"/>
    </row>
    <row r="318" spans="1:30" s="352" customFormat="1">
      <c r="A318" s="364"/>
      <c r="B318" s="364"/>
      <c r="C318" s="365"/>
      <c r="D318" s="365"/>
      <c r="E318" s="365"/>
      <c r="F318" s="365"/>
      <c r="G318" s="365"/>
      <c r="H318" s="365"/>
      <c r="I318" s="365"/>
      <c r="J318" s="365"/>
      <c r="K318" s="365"/>
      <c r="L318" s="365"/>
      <c r="M318" s="365"/>
      <c r="N318" s="365"/>
      <c r="O318" s="365"/>
      <c r="P318" s="365"/>
      <c r="Q318" s="365"/>
      <c r="R318" s="365"/>
      <c r="S318" s="365"/>
      <c r="T318" s="365"/>
      <c r="U318" s="365"/>
      <c r="V318" s="365"/>
      <c r="W318" s="365"/>
      <c r="X318" s="365"/>
      <c r="Y318" s="365"/>
      <c r="Z318" s="365"/>
      <c r="AA318" s="365"/>
      <c r="AB318" s="365"/>
      <c r="AC318" s="365"/>
      <c r="AD318" s="365"/>
    </row>
    <row r="319" spans="1:30" s="352" customFormat="1">
      <c r="A319" s="364"/>
      <c r="B319" s="364"/>
      <c r="C319" s="365"/>
      <c r="D319" s="365"/>
      <c r="E319" s="365"/>
      <c r="F319" s="365"/>
      <c r="G319" s="365"/>
      <c r="H319" s="365"/>
      <c r="I319" s="365"/>
      <c r="J319" s="365"/>
      <c r="K319" s="365"/>
      <c r="L319" s="365"/>
      <c r="M319" s="365"/>
      <c r="N319" s="365"/>
      <c r="O319" s="365"/>
      <c r="P319" s="365"/>
      <c r="Q319" s="365"/>
      <c r="R319" s="365"/>
      <c r="S319" s="365"/>
      <c r="T319" s="365"/>
      <c r="U319" s="365"/>
      <c r="V319" s="365"/>
      <c r="W319" s="365"/>
      <c r="X319" s="365"/>
      <c r="Y319" s="365"/>
      <c r="Z319" s="365"/>
      <c r="AA319" s="365"/>
      <c r="AB319" s="365"/>
      <c r="AC319" s="365"/>
      <c r="AD319" s="365"/>
    </row>
    <row r="320" spans="1:30" s="352" customFormat="1">
      <c r="A320" s="364"/>
      <c r="B320" s="364"/>
      <c r="C320" s="365"/>
      <c r="D320" s="365"/>
      <c r="E320" s="365"/>
      <c r="F320" s="365"/>
      <c r="G320" s="365"/>
      <c r="H320" s="365"/>
      <c r="I320" s="365"/>
      <c r="J320" s="365"/>
      <c r="K320" s="365"/>
      <c r="L320" s="365"/>
      <c r="M320" s="365"/>
      <c r="N320" s="365"/>
      <c r="O320" s="365"/>
      <c r="P320" s="365"/>
      <c r="Q320" s="365"/>
      <c r="R320" s="365"/>
      <c r="S320" s="365"/>
      <c r="T320" s="365"/>
      <c r="U320" s="365"/>
      <c r="V320" s="365"/>
      <c r="W320" s="365"/>
      <c r="X320" s="365"/>
      <c r="Y320" s="365"/>
      <c r="Z320" s="365"/>
      <c r="AA320" s="365"/>
      <c r="AB320" s="365"/>
      <c r="AC320" s="365"/>
      <c r="AD320" s="365"/>
    </row>
    <row r="321" spans="1:30" s="352" customFormat="1">
      <c r="A321" s="364"/>
      <c r="B321" s="364"/>
      <c r="C321" s="365"/>
      <c r="D321" s="365"/>
      <c r="E321" s="365"/>
      <c r="F321" s="365"/>
      <c r="G321" s="365"/>
      <c r="H321" s="365"/>
      <c r="I321" s="365"/>
      <c r="J321" s="365"/>
      <c r="K321" s="365"/>
      <c r="L321" s="365"/>
      <c r="M321" s="365"/>
      <c r="N321" s="365"/>
      <c r="O321" s="365"/>
      <c r="P321" s="365"/>
      <c r="Q321" s="365"/>
      <c r="R321" s="365"/>
      <c r="S321" s="365"/>
      <c r="T321" s="365"/>
      <c r="U321" s="365"/>
      <c r="V321" s="365"/>
      <c r="W321" s="365"/>
      <c r="X321" s="365"/>
      <c r="Y321" s="365"/>
      <c r="Z321" s="365"/>
      <c r="AA321" s="365"/>
      <c r="AB321" s="365"/>
      <c r="AC321" s="365"/>
      <c r="AD321" s="365"/>
    </row>
    <row r="322" spans="1:30" s="352" customFormat="1">
      <c r="A322" s="364"/>
      <c r="B322" s="364"/>
      <c r="C322" s="365"/>
      <c r="D322" s="365"/>
      <c r="E322" s="365"/>
      <c r="F322" s="365"/>
      <c r="G322" s="365"/>
      <c r="H322" s="365"/>
      <c r="I322" s="365"/>
      <c r="J322" s="365"/>
      <c r="K322" s="365"/>
      <c r="L322" s="365"/>
      <c r="M322" s="365"/>
      <c r="N322" s="365"/>
      <c r="O322" s="365"/>
      <c r="P322" s="365"/>
      <c r="Q322" s="365"/>
      <c r="R322" s="365"/>
      <c r="S322" s="365"/>
      <c r="T322" s="365"/>
      <c r="U322" s="365"/>
      <c r="V322" s="365"/>
      <c r="W322" s="365"/>
      <c r="X322" s="365"/>
      <c r="Y322" s="365"/>
      <c r="Z322" s="365"/>
      <c r="AA322" s="365"/>
      <c r="AB322" s="365"/>
      <c r="AC322" s="365"/>
      <c r="AD322" s="365"/>
    </row>
    <row r="323" spans="1:30" s="352" customFormat="1">
      <c r="A323" s="364"/>
      <c r="B323" s="364"/>
      <c r="C323" s="365"/>
      <c r="D323" s="365"/>
      <c r="E323" s="365"/>
      <c r="F323" s="365"/>
      <c r="G323" s="365"/>
      <c r="H323" s="365"/>
      <c r="I323" s="365"/>
      <c r="J323" s="365"/>
      <c r="K323" s="365"/>
      <c r="L323" s="365"/>
      <c r="M323" s="365"/>
      <c r="N323" s="365"/>
      <c r="O323" s="365"/>
      <c r="P323" s="365"/>
      <c r="Q323" s="365"/>
      <c r="R323" s="365"/>
      <c r="S323" s="365"/>
      <c r="T323" s="365"/>
      <c r="U323" s="365"/>
      <c r="V323" s="365"/>
      <c r="W323" s="365"/>
      <c r="X323" s="365"/>
      <c r="Y323" s="365"/>
      <c r="Z323" s="365"/>
      <c r="AA323" s="365"/>
      <c r="AB323" s="365"/>
      <c r="AC323" s="365"/>
      <c r="AD323" s="365"/>
    </row>
    <row r="324" spans="1:30" s="352" customFormat="1">
      <c r="A324" s="364"/>
      <c r="B324" s="364"/>
      <c r="C324" s="365"/>
      <c r="D324" s="365"/>
      <c r="E324" s="365"/>
      <c r="F324" s="365"/>
      <c r="G324" s="365"/>
      <c r="H324" s="365"/>
      <c r="I324" s="365"/>
      <c r="J324" s="365"/>
      <c r="K324" s="365"/>
      <c r="L324" s="365"/>
      <c r="M324" s="365"/>
      <c r="N324" s="365"/>
      <c r="O324" s="365"/>
      <c r="P324" s="365"/>
      <c r="Q324" s="365"/>
      <c r="R324" s="365"/>
      <c r="S324" s="365"/>
      <c r="T324" s="365"/>
      <c r="U324" s="365"/>
      <c r="V324" s="365"/>
      <c r="W324" s="365"/>
      <c r="X324" s="365"/>
      <c r="Y324" s="365"/>
      <c r="Z324" s="365"/>
      <c r="AA324" s="365"/>
      <c r="AB324" s="365"/>
      <c r="AC324" s="365"/>
      <c r="AD324" s="365"/>
    </row>
    <row r="325" spans="1:30" s="352" customFormat="1">
      <c r="A325" s="364"/>
      <c r="B325" s="364"/>
      <c r="C325" s="365"/>
      <c r="D325" s="365"/>
      <c r="E325" s="365"/>
      <c r="F325" s="365"/>
      <c r="G325" s="365"/>
      <c r="H325" s="365"/>
      <c r="I325" s="365"/>
      <c r="J325" s="365"/>
      <c r="K325" s="365"/>
      <c r="L325" s="365"/>
      <c r="M325" s="365"/>
      <c r="N325" s="365"/>
      <c r="O325" s="365"/>
      <c r="P325" s="365"/>
      <c r="Q325" s="365"/>
      <c r="R325" s="365"/>
      <c r="S325" s="365"/>
      <c r="T325" s="365"/>
      <c r="U325" s="365"/>
      <c r="V325" s="365"/>
      <c r="W325" s="365"/>
      <c r="X325" s="365"/>
      <c r="Y325" s="365"/>
      <c r="Z325" s="365"/>
      <c r="AA325" s="365"/>
      <c r="AB325" s="365"/>
      <c r="AC325" s="365"/>
      <c r="AD325" s="365"/>
    </row>
    <row r="326" spans="1:30" s="352" customFormat="1">
      <c r="A326" s="364"/>
      <c r="B326" s="364"/>
      <c r="C326" s="365"/>
      <c r="D326" s="365"/>
      <c r="E326" s="365"/>
      <c r="F326" s="365"/>
      <c r="G326" s="365"/>
      <c r="H326" s="365"/>
      <c r="I326" s="365"/>
      <c r="J326" s="365"/>
      <c r="K326" s="365"/>
      <c r="L326" s="365"/>
      <c r="M326" s="365"/>
      <c r="N326" s="365"/>
      <c r="O326" s="365"/>
      <c r="P326" s="365"/>
      <c r="Q326" s="365"/>
      <c r="R326" s="365"/>
      <c r="S326" s="365"/>
      <c r="T326" s="365"/>
      <c r="U326" s="365"/>
      <c r="V326" s="365"/>
      <c r="W326" s="365"/>
      <c r="X326" s="365"/>
      <c r="Y326" s="365"/>
      <c r="Z326" s="365"/>
      <c r="AA326" s="365"/>
      <c r="AB326" s="365"/>
      <c r="AC326" s="365"/>
      <c r="AD326" s="365"/>
    </row>
    <row r="327" spans="1:30" s="352" customFormat="1">
      <c r="A327" s="364"/>
      <c r="B327" s="364"/>
      <c r="C327" s="365"/>
      <c r="D327" s="365"/>
      <c r="E327" s="365"/>
      <c r="F327" s="365"/>
      <c r="G327" s="365"/>
      <c r="H327" s="365"/>
      <c r="I327" s="365"/>
      <c r="J327" s="365"/>
      <c r="K327" s="365"/>
      <c r="L327" s="365"/>
      <c r="M327" s="365"/>
      <c r="N327" s="365"/>
      <c r="O327" s="365"/>
      <c r="P327" s="365"/>
      <c r="Q327" s="365"/>
      <c r="R327" s="365"/>
      <c r="S327" s="365"/>
      <c r="T327" s="365"/>
      <c r="U327" s="365"/>
      <c r="V327" s="365"/>
      <c r="W327" s="365"/>
      <c r="X327" s="365"/>
      <c r="Y327" s="365"/>
      <c r="Z327" s="365"/>
      <c r="AA327" s="365"/>
      <c r="AB327" s="365"/>
      <c r="AC327" s="365"/>
      <c r="AD327" s="365"/>
    </row>
    <row r="328" spans="1:30" s="352" customFormat="1">
      <c r="A328" s="364"/>
      <c r="B328" s="364"/>
      <c r="C328" s="365"/>
      <c r="D328" s="365"/>
      <c r="E328" s="365"/>
      <c r="F328" s="365"/>
      <c r="G328" s="365"/>
      <c r="H328" s="365"/>
      <c r="I328" s="365"/>
      <c r="J328" s="365"/>
      <c r="K328" s="365"/>
      <c r="L328" s="365"/>
      <c r="M328" s="365"/>
      <c r="N328" s="365"/>
      <c r="O328" s="365"/>
      <c r="P328" s="365"/>
      <c r="Q328" s="365"/>
      <c r="R328" s="365"/>
      <c r="S328" s="365"/>
      <c r="T328" s="365"/>
      <c r="U328" s="365"/>
      <c r="V328" s="365"/>
      <c r="W328" s="365"/>
      <c r="X328" s="365"/>
      <c r="Y328" s="365"/>
      <c r="Z328" s="365"/>
      <c r="AA328" s="365"/>
      <c r="AB328" s="365"/>
      <c r="AC328" s="365"/>
      <c r="AD328" s="365"/>
    </row>
    <row r="329" spans="1:30" s="352" customFormat="1">
      <c r="A329" s="364"/>
      <c r="B329" s="364"/>
      <c r="C329" s="365"/>
      <c r="D329" s="365"/>
      <c r="E329" s="365"/>
      <c r="F329" s="365"/>
      <c r="G329" s="365"/>
      <c r="H329" s="365"/>
      <c r="I329" s="365"/>
      <c r="J329" s="365"/>
      <c r="K329" s="365"/>
      <c r="L329" s="365"/>
      <c r="M329" s="365"/>
      <c r="N329" s="365"/>
      <c r="O329" s="365"/>
      <c r="P329" s="365"/>
      <c r="Q329" s="365"/>
      <c r="R329" s="365"/>
      <c r="S329" s="365"/>
      <c r="T329" s="365"/>
      <c r="U329" s="365"/>
      <c r="V329" s="365"/>
      <c r="W329" s="365"/>
      <c r="X329" s="365"/>
      <c r="Y329" s="365"/>
      <c r="Z329" s="365"/>
      <c r="AA329" s="365"/>
      <c r="AB329" s="365"/>
      <c r="AC329" s="365"/>
      <c r="AD329" s="365"/>
    </row>
    <row r="330" spans="1:30" s="352" customFormat="1">
      <c r="A330" s="364"/>
      <c r="B330" s="364"/>
      <c r="C330" s="365"/>
      <c r="D330" s="365"/>
      <c r="E330" s="365"/>
      <c r="F330" s="365"/>
      <c r="G330" s="365"/>
      <c r="H330" s="365"/>
      <c r="I330" s="365"/>
      <c r="J330" s="365"/>
      <c r="K330" s="365"/>
      <c r="L330" s="365"/>
      <c r="M330" s="365"/>
      <c r="N330" s="365"/>
      <c r="O330" s="365"/>
      <c r="P330" s="365"/>
      <c r="Q330" s="365"/>
      <c r="R330" s="365"/>
      <c r="S330" s="365"/>
      <c r="T330" s="365"/>
      <c r="U330" s="365"/>
      <c r="V330" s="365"/>
      <c r="W330" s="365"/>
      <c r="X330" s="365"/>
      <c r="Y330" s="365"/>
      <c r="Z330" s="365"/>
      <c r="AA330" s="365"/>
      <c r="AB330" s="365"/>
      <c r="AC330" s="365"/>
      <c r="AD330" s="365"/>
    </row>
    <row r="331" spans="1:30" s="352" customFormat="1">
      <c r="A331" s="364"/>
      <c r="B331" s="364"/>
      <c r="C331" s="365"/>
      <c r="D331" s="365"/>
      <c r="E331" s="365"/>
      <c r="F331" s="365"/>
      <c r="G331" s="365"/>
      <c r="H331" s="365"/>
      <c r="I331" s="365"/>
      <c r="J331" s="365"/>
      <c r="K331" s="365"/>
      <c r="L331" s="365"/>
      <c r="M331" s="365"/>
      <c r="N331" s="365"/>
      <c r="O331" s="365"/>
      <c r="P331" s="365"/>
      <c r="Q331" s="365"/>
      <c r="R331" s="365"/>
      <c r="S331" s="365"/>
      <c r="T331" s="365"/>
      <c r="U331" s="365"/>
      <c r="V331" s="365"/>
      <c r="W331" s="365"/>
      <c r="X331" s="365"/>
      <c r="Y331" s="365"/>
      <c r="Z331" s="365"/>
      <c r="AA331" s="365"/>
      <c r="AB331" s="365"/>
      <c r="AC331" s="365"/>
      <c r="AD331" s="365"/>
    </row>
    <row r="332" spans="1:30" s="352" customFormat="1">
      <c r="A332" s="364"/>
      <c r="B332" s="364"/>
      <c r="C332" s="365"/>
      <c r="D332" s="365"/>
      <c r="E332" s="365"/>
      <c r="F332" s="365"/>
      <c r="G332" s="365"/>
      <c r="H332" s="365"/>
      <c r="I332" s="365"/>
      <c r="J332" s="365"/>
      <c r="K332" s="365"/>
      <c r="L332" s="365"/>
      <c r="M332" s="365"/>
      <c r="N332" s="365"/>
      <c r="O332" s="365"/>
      <c r="P332" s="365"/>
      <c r="Q332" s="365"/>
      <c r="R332" s="365"/>
      <c r="S332" s="365"/>
      <c r="T332" s="365"/>
      <c r="U332" s="365"/>
      <c r="V332" s="365"/>
      <c r="W332" s="365"/>
      <c r="X332" s="365"/>
      <c r="Y332" s="365"/>
      <c r="Z332" s="365"/>
      <c r="AA332" s="365"/>
      <c r="AB332" s="365"/>
      <c r="AC332" s="365"/>
      <c r="AD332" s="365"/>
    </row>
    <row r="333" spans="1:30" s="352" customFormat="1">
      <c r="A333" s="364"/>
      <c r="B333" s="364"/>
      <c r="C333" s="365"/>
      <c r="D333" s="365"/>
      <c r="E333" s="365"/>
      <c r="F333" s="365"/>
      <c r="G333" s="365"/>
      <c r="H333" s="365"/>
      <c r="I333" s="365"/>
      <c r="J333" s="365"/>
      <c r="K333" s="365"/>
      <c r="L333" s="365"/>
      <c r="M333" s="365"/>
      <c r="N333" s="365"/>
      <c r="O333" s="365"/>
      <c r="P333" s="365"/>
      <c r="Q333" s="365"/>
      <c r="R333" s="365"/>
      <c r="S333" s="365"/>
      <c r="T333" s="365"/>
      <c r="U333" s="365"/>
      <c r="V333" s="365"/>
      <c r="W333" s="365"/>
      <c r="X333" s="365"/>
      <c r="Y333" s="365"/>
      <c r="Z333" s="365"/>
      <c r="AA333" s="365"/>
      <c r="AB333" s="365"/>
      <c r="AC333" s="365"/>
      <c r="AD333" s="365"/>
    </row>
    <row r="334" spans="1:30" s="352" customFormat="1">
      <c r="A334" s="364"/>
      <c r="B334" s="364"/>
      <c r="C334" s="365"/>
      <c r="D334" s="365"/>
      <c r="E334" s="365"/>
      <c r="F334" s="365"/>
      <c r="G334" s="365"/>
      <c r="H334" s="365"/>
      <c r="I334" s="365"/>
      <c r="J334" s="365"/>
      <c r="K334" s="365"/>
      <c r="L334" s="365"/>
      <c r="M334" s="365"/>
      <c r="N334" s="365"/>
      <c r="O334" s="365"/>
      <c r="P334" s="365"/>
      <c r="Q334" s="365"/>
      <c r="R334" s="365"/>
      <c r="S334" s="365"/>
      <c r="T334" s="365"/>
      <c r="U334" s="365"/>
      <c r="V334" s="365"/>
      <c r="W334" s="365"/>
      <c r="X334" s="365"/>
      <c r="Y334" s="365"/>
      <c r="Z334" s="365"/>
      <c r="AA334" s="365"/>
      <c r="AB334" s="365"/>
      <c r="AC334" s="365"/>
      <c r="AD334" s="365"/>
    </row>
    <row r="335" spans="1:30" s="352" customFormat="1">
      <c r="A335" s="364"/>
      <c r="B335" s="364"/>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row>
    <row r="336" spans="1:30" s="352" customFormat="1">
      <c r="A336" s="364"/>
      <c r="B336" s="364"/>
      <c r="C336" s="365"/>
      <c r="D336" s="365"/>
      <c r="E336" s="365"/>
      <c r="F336" s="365"/>
      <c r="G336" s="365"/>
      <c r="H336" s="365"/>
      <c r="I336" s="365"/>
      <c r="J336" s="365"/>
      <c r="K336" s="365"/>
      <c r="L336" s="365"/>
      <c r="M336" s="365"/>
      <c r="N336" s="365"/>
      <c r="O336" s="365"/>
      <c r="P336" s="365"/>
      <c r="Q336" s="365"/>
      <c r="R336" s="365"/>
      <c r="S336" s="365"/>
      <c r="T336" s="365"/>
      <c r="U336" s="365"/>
      <c r="V336" s="365"/>
      <c r="W336" s="365"/>
      <c r="X336" s="365"/>
      <c r="Y336" s="365"/>
      <c r="Z336" s="365"/>
      <c r="AA336" s="365"/>
      <c r="AB336" s="365"/>
      <c r="AC336" s="365"/>
      <c r="AD336" s="365"/>
    </row>
    <row r="337" spans="1:30" s="352" customFormat="1">
      <c r="A337" s="364"/>
      <c r="B337" s="364"/>
      <c r="C337" s="365"/>
      <c r="D337" s="365"/>
      <c r="E337" s="365"/>
      <c r="F337" s="365"/>
      <c r="G337" s="365"/>
      <c r="H337" s="365"/>
      <c r="I337" s="365"/>
      <c r="J337" s="365"/>
      <c r="K337" s="365"/>
      <c r="L337" s="365"/>
      <c r="M337" s="365"/>
      <c r="N337" s="365"/>
      <c r="O337" s="365"/>
      <c r="P337" s="365"/>
      <c r="Q337" s="365"/>
      <c r="R337" s="365"/>
      <c r="S337" s="365"/>
      <c r="T337" s="365"/>
      <c r="U337" s="365"/>
      <c r="V337" s="365"/>
      <c r="W337" s="365"/>
      <c r="X337" s="365"/>
      <c r="Y337" s="365"/>
      <c r="Z337" s="365"/>
      <c r="AA337" s="365"/>
      <c r="AB337" s="365"/>
      <c r="AC337" s="365"/>
      <c r="AD337" s="365"/>
    </row>
    <row r="338" spans="1:30" s="352" customFormat="1">
      <c r="A338" s="364"/>
      <c r="B338" s="364"/>
      <c r="C338" s="365"/>
      <c r="D338" s="365"/>
      <c r="E338" s="365"/>
      <c r="F338" s="365"/>
      <c r="G338" s="365"/>
      <c r="H338" s="365"/>
      <c r="I338" s="365"/>
      <c r="J338" s="365"/>
      <c r="K338" s="365"/>
      <c r="L338" s="365"/>
      <c r="M338" s="365"/>
      <c r="N338" s="365"/>
      <c r="O338" s="365"/>
      <c r="P338" s="365"/>
      <c r="Q338" s="365"/>
      <c r="R338" s="365"/>
      <c r="S338" s="365"/>
      <c r="T338" s="365"/>
      <c r="U338" s="365"/>
      <c r="V338" s="365"/>
      <c r="W338" s="365"/>
      <c r="X338" s="365"/>
      <c r="Y338" s="365"/>
      <c r="Z338" s="365"/>
      <c r="AA338" s="365"/>
      <c r="AB338" s="365"/>
      <c r="AC338" s="365"/>
      <c r="AD338" s="365"/>
    </row>
    <row r="339" spans="1:30" s="352" customFormat="1">
      <c r="A339" s="364"/>
      <c r="B339" s="364"/>
      <c r="C339" s="365"/>
      <c r="D339" s="365"/>
      <c r="E339" s="365"/>
      <c r="F339" s="365"/>
      <c r="G339" s="365"/>
      <c r="H339" s="365"/>
      <c r="I339" s="365"/>
      <c r="J339" s="365"/>
      <c r="K339" s="365"/>
      <c r="L339" s="365"/>
      <c r="M339" s="365"/>
      <c r="N339" s="365"/>
      <c r="O339" s="365"/>
      <c r="P339" s="365"/>
      <c r="Q339" s="365"/>
      <c r="R339" s="365"/>
      <c r="S339" s="365"/>
      <c r="T339" s="365"/>
      <c r="U339" s="365"/>
      <c r="V339" s="365"/>
      <c r="W339" s="365"/>
      <c r="X339" s="365"/>
      <c r="Y339" s="365"/>
      <c r="Z339" s="365"/>
      <c r="AA339" s="365"/>
      <c r="AB339" s="365"/>
      <c r="AC339" s="365"/>
      <c r="AD339" s="365"/>
    </row>
    <row r="340" spans="1:30" s="352" customFormat="1">
      <c r="A340" s="364"/>
      <c r="B340" s="364"/>
      <c r="C340" s="365"/>
      <c r="D340" s="365"/>
      <c r="E340" s="365"/>
      <c r="F340" s="365"/>
      <c r="G340" s="365"/>
      <c r="H340" s="365"/>
      <c r="I340" s="365"/>
      <c r="J340" s="365"/>
      <c r="K340" s="365"/>
      <c r="L340" s="365"/>
      <c r="M340" s="365"/>
      <c r="N340" s="365"/>
      <c r="O340" s="365"/>
      <c r="P340" s="365"/>
      <c r="Q340" s="365"/>
      <c r="R340" s="365"/>
      <c r="S340" s="365"/>
      <c r="T340" s="365"/>
      <c r="U340" s="365"/>
      <c r="V340" s="365"/>
      <c r="W340" s="365"/>
      <c r="X340" s="365"/>
      <c r="Y340" s="365"/>
      <c r="Z340" s="365"/>
      <c r="AA340" s="365"/>
      <c r="AB340" s="365"/>
      <c r="AC340" s="365"/>
      <c r="AD340" s="365"/>
    </row>
    <row r="341" spans="1:30" s="352" customFormat="1">
      <c r="A341" s="364"/>
      <c r="B341" s="364"/>
      <c r="C341" s="365"/>
      <c r="D341" s="365"/>
      <c r="E341" s="365"/>
      <c r="F341" s="365"/>
      <c r="G341" s="365"/>
      <c r="H341" s="365"/>
      <c r="I341" s="365"/>
      <c r="J341" s="365"/>
      <c r="K341" s="365"/>
      <c r="L341" s="365"/>
      <c r="M341" s="365"/>
      <c r="N341" s="365"/>
      <c r="O341" s="365"/>
      <c r="P341" s="365"/>
      <c r="Q341" s="365"/>
      <c r="R341" s="365"/>
      <c r="S341" s="365"/>
      <c r="T341" s="365"/>
      <c r="U341" s="365"/>
      <c r="V341" s="365"/>
      <c r="W341" s="365"/>
      <c r="X341" s="365"/>
      <c r="Y341" s="365"/>
      <c r="Z341" s="365"/>
      <c r="AA341" s="365"/>
      <c r="AB341" s="365"/>
      <c r="AC341" s="365"/>
      <c r="AD341" s="365"/>
    </row>
    <row r="342" spans="1:30" s="352" customFormat="1">
      <c r="A342" s="364"/>
      <c r="B342" s="364"/>
      <c r="C342" s="365"/>
      <c r="D342" s="365"/>
      <c r="E342" s="365"/>
      <c r="F342" s="365"/>
      <c r="G342" s="365"/>
      <c r="H342" s="365"/>
      <c r="I342" s="365"/>
      <c r="J342" s="365"/>
      <c r="K342" s="365"/>
      <c r="L342" s="365"/>
      <c r="M342" s="365"/>
      <c r="N342" s="365"/>
      <c r="O342" s="365"/>
      <c r="P342" s="365"/>
      <c r="Q342" s="365"/>
      <c r="R342" s="365"/>
      <c r="S342" s="365"/>
      <c r="T342" s="365"/>
      <c r="U342" s="365"/>
      <c r="V342" s="365"/>
      <c r="W342" s="365"/>
      <c r="X342" s="365"/>
      <c r="Y342" s="365"/>
      <c r="Z342" s="365"/>
      <c r="AA342" s="365"/>
      <c r="AB342" s="365"/>
      <c r="AC342" s="365"/>
      <c r="AD342" s="365"/>
    </row>
    <row r="343" spans="1:30" s="352" customFormat="1">
      <c r="A343" s="364"/>
      <c r="B343" s="364"/>
      <c r="C343" s="365"/>
      <c r="D343" s="365"/>
      <c r="E343" s="365"/>
      <c r="F343" s="365"/>
      <c r="G343" s="365"/>
      <c r="H343" s="365"/>
      <c r="I343" s="365"/>
      <c r="J343" s="365"/>
      <c r="K343" s="365"/>
      <c r="L343" s="365"/>
      <c r="M343" s="365"/>
      <c r="N343" s="365"/>
      <c r="O343" s="365"/>
      <c r="P343" s="365"/>
      <c r="Q343" s="365"/>
      <c r="R343" s="365"/>
      <c r="S343" s="365"/>
      <c r="T343" s="365"/>
      <c r="U343" s="365"/>
      <c r="V343" s="365"/>
      <c r="W343" s="365"/>
      <c r="X343" s="365"/>
      <c r="Y343" s="365"/>
      <c r="Z343" s="365"/>
      <c r="AA343" s="365"/>
      <c r="AB343" s="365"/>
      <c r="AC343" s="365"/>
      <c r="AD343" s="365"/>
    </row>
    <row r="344" spans="1:30" s="352" customFormat="1">
      <c r="A344" s="364"/>
      <c r="B344" s="364"/>
      <c r="C344" s="365"/>
      <c r="D344" s="365"/>
      <c r="E344" s="365"/>
      <c r="F344" s="365"/>
      <c r="G344" s="365"/>
      <c r="H344" s="365"/>
      <c r="I344" s="365"/>
      <c r="J344" s="365"/>
      <c r="K344" s="365"/>
      <c r="L344" s="365"/>
      <c r="M344" s="365"/>
      <c r="N344" s="365"/>
      <c r="O344" s="365"/>
      <c r="P344" s="365"/>
      <c r="Q344" s="365"/>
      <c r="R344" s="365"/>
      <c r="S344" s="365"/>
      <c r="T344" s="365"/>
      <c r="U344" s="365"/>
      <c r="V344" s="365"/>
      <c r="W344" s="365"/>
      <c r="X344" s="365"/>
      <c r="Y344" s="365"/>
      <c r="Z344" s="365"/>
      <c r="AA344" s="365"/>
      <c r="AB344" s="365"/>
      <c r="AC344" s="365"/>
      <c r="AD344" s="365"/>
    </row>
    <row r="345" spans="1:30" s="352" customFormat="1">
      <c r="A345" s="364"/>
      <c r="B345" s="364"/>
      <c r="C345" s="365"/>
      <c r="D345" s="365"/>
      <c r="E345" s="365"/>
      <c r="F345" s="365"/>
      <c r="G345" s="365"/>
      <c r="H345" s="365"/>
      <c r="I345" s="365"/>
      <c r="J345" s="365"/>
      <c r="K345" s="365"/>
      <c r="L345" s="365"/>
      <c r="M345" s="365"/>
      <c r="N345" s="365"/>
      <c r="O345" s="365"/>
      <c r="P345" s="365"/>
      <c r="Q345" s="365"/>
      <c r="R345" s="365"/>
      <c r="S345" s="365"/>
      <c r="T345" s="365"/>
      <c r="U345" s="365"/>
      <c r="V345" s="365"/>
      <c r="W345" s="365"/>
      <c r="X345" s="365"/>
      <c r="Y345" s="365"/>
      <c r="Z345" s="365"/>
      <c r="AA345" s="365"/>
      <c r="AB345" s="365"/>
      <c r="AC345" s="365"/>
      <c r="AD345" s="365"/>
    </row>
    <row r="346" spans="1:30" s="352" customFormat="1">
      <c r="A346" s="364"/>
      <c r="B346" s="364"/>
      <c r="C346" s="365"/>
      <c r="D346" s="365"/>
      <c r="E346" s="365"/>
      <c r="F346" s="365"/>
      <c r="G346" s="365"/>
      <c r="H346" s="365"/>
      <c r="I346" s="365"/>
      <c r="J346" s="365"/>
      <c r="K346" s="365"/>
      <c r="L346" s="365"/>
      <c r="M346" s="365"/>
      <c r="N346" s="365"/>
      <c r="O346" s="365"/>
      <c r="P346" s="365"/>
      <c r="Q346" s="365"/>
      <c r="R346" s="365"/>
      <c r="S346" s="365"/>
      <c r="T346" s="365"/>
      <c r="U346" s="365"/>
      <c r="V346" s="365"/>
      <c r="W346" s="365"/>
      <c r="X346" s="365"/>
      <c r="Y346" s="365"/>
      <c r="Z346" s="365"/>
      <c r="AA346" s="365"/>
      <c r="AB346" s="365"/>
      <c r="AC346" s="365"/>
      <c r="AD346" s="365"/>
    </row>
    <row r="347" spans="1:30" s="352" customFormat="1">
      <c r="A347" s="364"/>
      <c r="B347" s="364"/>
      <c r="C347" s="365"/>
      <c r="D347" s="365"/>
      <c r="E347" s="365"/>
      <c r="F347" s="365"/>
      <c r="G347" s="365"/>
      <c r="H347" s="365"/>
      <c r="I347" s="365"/>
      <c r="J347" s="365"/>
      <c r="K347" s="365"/>
      <c r="L347" s="365"/>
      <c r="M347" s="365"/>
      <c r="N347" s="365"/>
      <c r="O347" s="365"/>
      <c r="P347" s="365"/>
      <c r="Q347" s="365"/>
      <c r="R347" s="365"/>
      <c r="S347" s="365"/>
      <c r="T347" s="365"/>
      <c r="U347" s="365"/>
      <c r="V347" s="365"/>
      <c r="W347" s="365"/>
      <c r="X347" s="365"/>
      <c r="Y347" s="365"/>
      <c r="Z347" s="365"/>
      <c r="AA347" s="365"/>
      <c r="AB347" s="365"/>
      <c r="AC347" s="365"/>
      <c r="AD347" s="365"/>
    </row>
    <row r="348" spans="1:30" s="352" customFormat="1">
      <c r="A348" s="364"/>
      <c r="B348" s="364"/>
      <c r="C348" s="365"/>
      <c r="D348" s="365"/>
      <c r="E348" s="365"/>
      <c r="F348" s="365"/>
      <c r="G348" s="365"/>
      <c r="H348" s="365"/>
      <c r="I348" s="365"/>
      <c r="J348" s="365"/>
      <c r="K348" s="365"/>
      <c r="L348" s="365"/>
      <c r="M348" s="365"/>
      <c r="N348" s="365"/>
      <c r="O348" s="365"/>
      <c r="P348" s="365"/>
      <c r="Q348" s="365"/>
      <c r="R348" s="365"/>
      <c r="S348" s="365"/>
      <c r="T348" s="365"/>
      <c r="U348" s="365"/>
      <c r="V348" s="365"/>
      <c r="W348" s="365"/>
      <c r="X348" s="365"/>
      <c r="Y348" s="365"/>
      <c r="Z348" s="365"/>
      <c r="AA348" s="365"/>
      <c r="AB348" s="365"/>
      <c r="AC348" s="365"/>
      <c r="AD348" s="365"/>
    </row>
    <row r="349" spans="1:30" s="352" customFormat="1">
      <c r="A349" s="364"/>
      <c r="B349" s="364"/>
      <c r="C349" s="365"/>
      <c r="D349" s="365"/>
      <c r="E349" s="365"/>
      <c r="F349" s="365"/>
      <c r="G349" s="365"/>
      <c r="H349" s="365"/>
      <c r="I349" s="365"/>
      <c r="J349" s="365"/>
      <c r="K349" s="365"/>
      <c r="L349" s="365"/>
      <c r="M349" s="365"/>
      <c r="N349" s="365"/>
      <c r="O349" s="365"/>
      <c r="P349" s="365"/>
      <c r="Q349" s="365"/>
      <c r="R349" s="365"/>
      <c r="S349" s="365"/>
      <c r="T349" s="365"/>
      <c r="U349" s="365"/>
      <c r="V349" s="365"/>
      <c r="W349" s="365"/>
      <c r="X349" s="365"/>
      <c r="Y349" s="365"/>
      <c r="Z349" s="365"/>
      <c r="AA349" s="365"/>
      <c r="AB349" s="365"/>
      <c r="AC349" s="365"/>
      <c r="AD349" s="365"/>
    </row>
    <row r="350" spans="1:30" s="352" customFormat="1">
      <c r="A350" s="364"/>
      <c r="B350" s="364"/>
      <c r="C350" s="365"/>
      <c r="D350" s="365"/>
      <c r="E350" s="365"/>
      <c r="F350" s="365"/>
      <c r="G350" s="365"/>
      <c r="H350" s="365"/>
      <c r="I350" s="365"/>
      <c r="J350" s="365"/>
      <c r="K350" s="365"/>
      <c r="L350" s="365"/>
      <c r="M350" s="365"/>
      <c r="N350" s="365"/>
      <c r="O350" s="365"/>
      <c r="P350" s="365"/>
      <c r="Q350" s="365"/>
      <c r="R350" s="365"/>
      <c r="S350" s="365"/>
      <c r="T350" s="365"/>
      <c r="U350" s="365"/>
      <c r="V350" s="365"/>
      <c r="W350" s="365"/>
      <c r="X350" s="365"/>
      <c r="Y350" s="365"/>
      <c r="Z350" s="365"/>
      <c r="AA350" s="365"/>
      <c r="AB350" s="365"/>
      <c r="AC350" s="365"/>
      <c r="AD350" s="365"/>
    </row>
    <row r="351" spans="1:30" s="352" customFormat="1">
      <c r="A351" s="364"/>
      <c r="B351" s="364"/>
      <c r="C351" s="365"/>
      <c r="D351" s="365"/>
      <c r="E351" s="365"/>
      <c r="F351" s="365"/>
      <c r="G351" s="365"/>
      <c r="H351" s="365"/>
      <c r="I351" s="365"/>
      <c r="J351" s="365"/>
      <c r="K351" s="365"/>
      <c r="L351" s="365"/>
      <c r="M351" s="365"/>
      <c r="N351" s="365"/>
      <c r="O351" s="365"/>
      <c r="P351" s="365"/>
      <c r="Q351" s="365"/>
      <c r="R351" s="365"/>
      <c r="S351" s="365"/>
      <c r="T351" s="365"/>
      <c r="U351" s="365"/>
      <c r="V351" s="365"/>
      <c r="W351" s="365"/>
      <c r="X351" s="365"/>
      <c r="Y351" s="365"/>
      <c r="Z351" s="365"/>
      <c r="AA351" s="365"/>
      <c r="AB351" s="365"/>
      <c r="AC351" s="365"/>
      <c r="AD351" s="365"/>
    </row>
    <row r="352" spans="1:30" s="352" customFormat="1">
      <c r="A352" s="364"/>
      <c r="B352" s="364"/>
      <c r="C352" s="365"/>
      <c r="D352" s="365"/>
      <c r="E352" s="365"/>
      <c r="F352" s="365"/>
      <c r="G352" s="365"/>
      <c r="H352" s="365"/>
      <c r="I352" s="365"/>
      <c r="J352" s="365"/>
      <c r="K352" s="365"/>
      <c r="L352" s="365"/>
      <c r="M352" s="365"/>
      <c r="N352" s="365"/>
      <c r="O352" s="365"/>
      <c r="P352" s="365"/>
      <c r="Q352" s="365"/>
      <c r="R352" s="365"/>
      <c r="S352" s="365"/>
      <c r="T352" s="365"/>
      <c r="U352" s="365"/>
      <c r="V352" s="365"/>
      <c r="W352" s="365"/>
      <c r="X352" s="365"/>
      <c r="Y352" s="365"/>
      <c r="Z352" s="365"/>
      <c r="AA352" s="365"/>
      <c r="AB352" s="365"/>
      <c r="AC352" s="365"/>
      <c r="AD352" s="365"/>
    </row>
    <row r="353" spans="1:30" s="352" customFormat="1">
      <c r="A353" s="364"/>
      <c r="B353" s="364"/>
      <c r="C353" s="365"/>
      <c r="D353" s="365"/>
      <c r="E353" s="365"/>
      <c r="F353" s="365"/>
      <c r="G353" s="365"/>
      <c r="H353" s="365"/>
      <c r="I353" s="365"/>
      <c r="J353" s="365"/>
      <c r="K353" s="365"/>
      <c r="L353" s="365"/>
      <c r="M353" s="365"/>
      <c r="N353" s="365"/>
      <c r="O353" s="365"/>
      <c r="P353" s="365"/>
      <c r="Q353" s="365"/>
      <c r="R353" s="365"/>
      <c r="S353" s="365"/>
      <c r="T353" s="365"/>
      <c r="U353" s="365"/>
      <c r="V353" s="365"/>
      <c r="W353" s="365"/>
      <c r="X353" s="365"/>
      <c r="Y353" s="365"/>
      <c r="Z353" s="365"/>
      <c r="AA353" s="365"/>
      <c r="AB353" s="365"/>
      <c r="AC353" s="365"/>
      <c r="AD353" s="365"/>
    </row>
    <row r="354" spans="1:30" s="352" customFormat="1">
      <c r="A354" s="364"/>
      <c r="B354" s="364"/>
      <c r="C354" s="365"/>
      <c r="D354" s="365"/>
      <c r="E354" s="365"/>
      <c r="F354" s="365"/>
      <c r="G354" s="365"/>
      <c r="H354" s="365"/>
      <c r="I354" s="365"/>
      <c r="J354" s="365"/>
      <c r="K354" s="365"/>
      <c r="L354" s="365"/>
      <c r="M354" s="365"/>
      <c r="N354" s="365"/>
      <c r="O354" s="365"/>
      <c r="P354" s="365"/>
      <c r="Q354" s="365"/>
      <c r="R354" s="365"/>
      <c r="S354" s="365"/>
      <c r="T354" s="365"/>
      <c r="U354" s="365"/>
      <c r="V354" s="365"/>
      <c r="W354" s="365"/>
      <c r="X354" s="365"/>
      <c r="Y354" s="365"/>
      <c r="Z354" s="365"/>
      <c r="AA354" s="365"/>
      <c r="AB354" s="365"/>
      <c r="AC354" s="365"/>
      <c r="AD354" s="365"/>
    </row>
    <row r="355" spans="1:30" s="352" customFormat="1">
      <c r="A355" s="364"/>
      <c r="B355" s="364"/>
      <c r="C355" s="365"/>
      <c r="D355" s="365"/>
      <c r="E355" s="365"/>
      <c r="F355" s="365"/>
      <c r="G355" s="365"/>
      <c r="H355" s="365"/>
      <c r="I355" s="365"/>
      <c r="J355" s="365"/>
      <c r="K355" s="365"/>
      <c r="L355" s="365"/>
      <c r="M355" s="365"/>
      <c r="N355" s="365"/>
      <c r="O355" s="365"/>
      <c r="P355" s="365"/>
      <c r="Q355" s="365"/>
      <c r="R355" s="365"/>
      <c r="S355" s="365"/>
      <c r="T355" s="365"/>
      <c r="U355" s="365"/>
      <c r="V355" s="365"/>
      <c r="W355" s="365"/>
      <c r="X355" s="365"/>
      <c r="Y355" s="365"/>
      <c r="Z355" s="365"/>
      <c r="AA355" s="365"/>
      <c r="AB355" s="365"/>
      <c r="AC355" s="365"/>
      <c r="AD355" s="365"/>
    </row>
    <row r="356" spans="1:30" s="352" customFormat="1">
      <c r="A356" s="364"/>
      <c r="B356" s="364"/>
      <c r="C356" s="365"/>
      <c r="D356" s="365"/>
      <c r="E356" s="365"/>
      <c r="F356" s="365"/>
      <c r="G356" s="365"/>
      <c r="H356" s="365"/>
      <c r="I356" s="365"/>
      <c r="J356" s="365"/>
      <c r="K356" s="365"/>
      <c r="L356" s="365"/>
      <c r="M356" s="365"/>
      <c r="N356" s="365"/>
      <c r="O356" s="365"/>
      <c r="P356" s="365"/>
      <c r="Q356" s="365"/>
      <c r="R356" s="365"/>
      <c r="S356" s="365"/>
      <c r="T356" s="365"/>
      <c r="U356" s="365"/>
      <c r="V356" s="365"/>
      <c r="W356" s="365"/>
      <c r="X356" s="365"/>
      <c r="Y356" s="365"/>
      <c r="Z356" s="365"/>
      <c r="AA356" s="365"/>
      <c r="AB356" s="365"/>
      <c r="AC356" s="365"/>
      <c r="AD356" s="365"/>
    </row>
    <row r="357" spans="1:30" s="352" customFormat="1">
      <c r="A357" s="364"/>
      <c r="B357" s="364"/>
      <c r="C357" s="365"/>
      <c r="D357" s="365"/>
      <c r="E357" s="365"/>
      <c r="F357" s="365"/>
      <c r="G357" s="365"/>
      <c r="H357" s="365"/>
      <c r="I357" s="365"/>
      <c r="J357" s="365"/>
      <c r="K357" s="365"/>
      <c r="L357" s="365"/>
      <c r="M357" s="365"/>
      <c r="N357" s="365"/>
      <c r="O357" s="365"/>
      <c r="P357" s="365"/>
      <c r="Q357" s="365"/>
      <c r="R357" s="365"/>
      <c r="S357" s="365"/>
      <c r="T357" s="365"/>
      <c r="U357" s="365"/>
      <c r="V357" s="365"/>
      <c r="W357" s="365"/>
      <c r="X357" s="365"/>
      <c r="Y357" s="365"/>
      <c r="Z357" s="365"/>
      <c r="AA357" s="365"/>
      <c r="AB357" s="365"/>
      <c r="AC357" s="365"/>
      <c r="AD357" s="365"/>
    </row>
    <row r="358" spans="1:30" s="352" customFormat="1">
      <c r="A358" s="364"/>
      <c r="B358" s="364"/>
      <c r="C358" s="365"/>
      <c r="D358" s="365"/>
      <c r="E358" s="365"/>
      <c r="F358" s="365"/>
      <c r="G358" s="365"/>
      <c r="H358" s="365"/>
      <c r="I358" s="365"/>
      <c r="J358" s="365"/>
      <c r="K358" s="365"/>
      <c r="L358" s="365"/>
      <c r="M358" s="365"/>
      <c r="N358" s="365"/>
      <c r="O358" s="365"/>
      <c r="P358" s="365"/>
      <c r="Q358" s="365"/>
      <c r="R358" s="365"/>
      <c r="S358" s="365"/>
      <c r="T358" s="365"/>
      <c r="U358" s="365"/>
      <c r="V358" s="365"/>
      <c r="W358" s="365"/>
      <c r="X358" s="365"/>
      <c r="Y358" s="365"/>
      <c r="Z358" s="365"/>
      <c r="AA358" s="365"/>
      <c r="AB358" s="365"/>
      <c r="AC358" s="365"/>
      <c r="AD358" s="365"/>
    </row>
    <row r="359" spans="1:30" s="352" customFormat="1">
      <c r="A359" s="364"/>
      <c r="B359" s="364"/>
      <c r="C359" s="365"/>
      <c r="D359" s="365"/>
      <c r="E359" s="365"/>
      <c r="F359" s="365"/>
      <c r="G359" s="365"/>
      <c r="H359" s="365"/>
      <c r="I359" s="365"/>
      <c r="J359" s="365"/>
      <c r="K359" s="365"/>
      <c r="L359" s="365"/>
      <c r="M359" s="365"/>
      <c r="N359" s="365"/>
      <c r="O359" s="365"/>
      <c r="P359" s="365"/>
      <c r="Q359" s="365"/>
      <c r="R359" s="365"/>
      <c r="S359" s="365"/>
      <c r="T359" s="365"/>
      <c r="U359" s="365"/>
      <c r="V359" s="365"/>
      <c r="W359" s="365"/>
      <c r="X359" s="365"/>
      <c r="Y359" s="365"/>
      <c r="Z359" s="365"/>
      <c r="AA359" s="365"/>
      <c r="AB359" s="365"/>
      <c r="AC359" s="365"/>
      <c r="AD359" s="365"/>
    </row>
    <row r="360" spans="1:30" s="352" customFormat="1">
      <c r="A360" s="364"/>
      <c r="B360" s="364"/>
      <c r="C360" s="365"/>
      <c r="D360" s="365"/>
      <c r="E360" s="365"/>
      <c r="F360" s="365"/>
      <c r="G360" s="365"/>
      <c r="H360" s="365"/>
      <c r="I360" s="365"/>
      <c r="J360" s="365"/>
      <c r="K360" s="365"/>
      <c r="L360" s="365"/>
      <c r="M360" s="365"/>
      <c r="N360" s="365"/>
      <c r="O360" s="365"/>
      <c r="P360" s="365"/>
      <c r="Q360" s="365"/>
      <c r="R360" s="365"/>
      <c r="S360" s="365"/>
      <c r="T360" s="365"/>
      <c r="U360" s="365"/>
      <c r="V360" s="365"/>
      <c r="W360" s="365"/>
      <c r="X360" s="365"/>
      <c r="Y360" s="365"/>
      <c r="Z360" s="365"/>
      <c r="AA360" s="365"/>
      <c r="AB360" s="365"/>
      <c r="AC360" s="365"/>
      <c r="AD360" s="365"/>
    </row>
    <row r="361" spans="1:30" s="352" customFormat="1">
      <c r="A361" s="364"/>
      <c r="B361" s="364"/>
      <c r="C361" s="365"/>
      <c r="D361" s="365"/>
      <c r="E361" s="365"/>
      <c r="F361" s="365"/>
      <c r="G361" s="365"/>
      <c r="H361" s="365"/>
      <c r="I361" s="365"/>
      <c r="J361" s="365"/>
      <c r="K361" s="365"/>
      <c r="L361" s="365"/>
      <c r="M361" s="365"/>
      <c r="N361" s="365"/>
      <c r="O361" s="365"/>
      <c r="P361" s="365"/>
      <c r="Q361" s="365"/>
      <c r="R361" s="365"/>
      <c r="S361" s="365"/>
      <c r="T361" s="365"/>
      <c r="U361" s="365"/>
      <c r="V361" s="365"/>
      <c r="W361" s="365"/>
      <c r="X361" s="365"/>
      <c r="Y361" s="365"/>
      <c r="Z361" s="365"/>
      <c r="AA361" s="365"/>
      <c r="AB361" s="365"/>
      <c r="AC361" s="365"/>
      <c r="AD361" s="365"/>
    </row>
    <row r="362" spans="1:30" s="352" customFormat="1">
      <c r="A362" s="364"/>
      <c r="B362" s="364"/>
      <c r="C362" s="365"/>
      <c r="D362" s="365"/>
      <c r="E362" s="365"/>
      <c r="F362" s="365"/>
      <c r="G362" s="365"/>
      <c r="H362" s="365"/>
      <c r="I362" s="365"/>
      <c r="J362" s="365"/>
      <c r="K362" s="365"/>
      <c r="L362" s="365"/>
      <c r="M362" s="365"/>
      <c r="N362" s="365"/>
      <c r="O362" s="365"/>
      <c r="P362" s="365"/>
      <c r="Q362" s="365"/>
      <c r="R362" s="365"/>
      <c r="S362" s="365"/>
      <c r="T362" s="365"/>
      <c r="U362" s="365"/>
      <c r="V362" s="365"/>
      <c r="W362" s="365"/>
      <c r="X362" s="365"/>
      <c r="Y362" s="365"/>
      <c r="Z362" s="365"/>
      <c r="AA362" s="365"/>
      <c r="AB362" s="365"/>
      <c r="AC362" s="365"/>
      <c r="AD362" s="365"/>
    </row>
    <row r="363" spans="1:30" s="352" customFormat="1">
      <c r="A363" s="364"/>
      <c r="B363" s="364"/>
      <c r="C363" s="365"/>
      <c r="D363" s="365"/>
      <c r="E363" s="365"/>
      <c r="F363" s="365"/>
      <c r="G363" s="365"/>
      <c r="H363" s="365"/>
      <c r="I363" s="365"/>
      <c r="J363" s="365"/>
      <c r="K363" s="365"/>
      <c r="L363" s="365"/>
      <c r="M363" s="365"/>
      <c r="N363" s="365"/>
      <c r="O363" s="365"/>
      <c r="P363" s="365"/>
      <c r="Q363" s="365"/>
      <c r="R363" s="365"/>
      <c r="S363" s="365"/>
      <c r="T363" s="365"/>
      <c r="U363" s="365"/>
      <c r="V363" s="365"/>
      <c r="W363" s="365"/>
      <c r="X363" s="365"/>
      <c r="Y363" s="365"/>
      <c r="Z363" s="365"/>
      <c r="AA363" s="365"/>
      <c r="AB363" s="365"/>
      <c r="AC363" s="365"/>
      <c r="AD363" s="365"/>
    </row>
    <row r="364" spans="1:30" s="352" customFormat="1">
      <c r="A364" s="364"/>
      <c r="B364" s="364"/>
      <c r="C364" s="365"/>
      <c r="D364" s="365"/>
      <c r="E364" s="365"/>
      <c r="F364" s="365"/>
      <c r="G364" s="365"/>
      <c r="H364" s="365"/>
      <c r="I364" s="365"/>
      <c r="J364" s="365"/>
      <c r="K364" s="365"/>
      <c r="L364" s="365"/>
      <c r="M364" s="365"/>
      <c r="N364" s="365"/>
      <c r="O364" s="365"/>
      <c r="P364" s="365"/>
      <c r="Q364" s="365"/>
      <c r="R364" s="365"/>
      <c r="S364" s="365"/>
      <c r="T364" s="365"/>
      <c r="U364" s="365"/>
      <c r="V364" s="365"/>
      <c r="W364" s="365"/>
      <c r="X364" s="365"/>
      <c r="Y364" s="365"/>
      <c r="Z364" s="365"/>
      <c r="AA364" s="365"/>
      <c r="AB364" s="365"/>
      <c r="AC364" s="365"/>
      <c r="AD364" s="365"/>
    </row>
    <row r="365" spans="1:30" s="352" customFormat="1">
      <c r="A365" s="364"/>
      <c r="B365" s="364"/>
      <c r="C365" s="365"/>
      <c r="D365" s="365"/>
      <c r="E365" s="365"/>
      <c r="F365" s="365"/>
      <c r="G365" s="365"/>
      <c r="H365" s="365"/>
      <c r="I365" s="365"/>
      <c r="J365" s="365"/>
      <c r="K365" s="365"/>
      <c r="L365" s="365"/>
      <c r="M365" s="365"/>
      <c r="N365" s="365"/>
      <c r="O365" s="365"/>
      <c r="P365" s="365"/>
      <c r="Q365" s="365"/>
      <c r="R365" s="365"/>
      <c r="S365" s="365"/>
      <c r="T365" s="365"/>
      <c r="U365" s="365"/>
      <c r="V365" s="365"/>
      <c r="W365" s="365"/>
      <c r="X365" s="365"/>
      <c r="Y365" s="365"/>
      <c r="Z365" s="365"/>
      <c r="AA365" s="365"/>
      <c r="AB365" s="365"/>
      <c r="AC365" s="365"/>
      <c r="AD365" s="365"/>
    </row>
    <row r="366" spans="1:30" s="352" customFormat="1">
      <c r="A366" s="364"/>
      <c r="B366" s="364"/>
      <c r="C366" s="365"/>
      <c r="D366" s="365"/>
      <c r="E366" s="365"/>
      <c r="F366" s="365"/>
      <c r="G366" s="365"/>
      <c r="H366" s="365"/>
      <c r="I366" s="365"/>
      <c r="J366" s="365"/>
      <c r="K366" s="365"/>
      <c r="L366" s="365"/>
      <c r="M366" s="365"/>
      <c r="N366" s="365"/>
      <c r="O366" s="365"/>
      <c r="P366" s="365"/>
      <c r="Q366" s="365"/>
      <c r="R366" s="365"/>
      <c r="S366" s="365"/>
      <c r="T366" s="365"/>
      <c r="U366" s="365"/>
      <c r="V366" s="365"/>
      <c r="W366" s="365"/>
      <c r="X366" s="365"/>
      <c r="Y366" s="365"/>
      <c r="Z366" s="365"/>
      <c r="AA366" s="365"/>
      <c r="AB366" s="365"/>
      <c r="AC366" s="365"/>
      <c r="AD366" s="365"/>
    </row>
    <row r="367" spans="1:30" s="352" customFormat="1">
      <c r="A367" s="364"/>
      <c r="B367" s="364"/>
      <c r="C367" s="365"/>
      <c r="D367" s="365"/>
      <c r="E367" s="365"/>
      <c r="F367" s="365"/>
      <c r="G367" s="365"/>
      <c r="H367" s="365"/>
      <c r="I367" s="365"/>
      <c r="J367" s="365"/>
      <c r="K367" s="365"/>
      <c r="L367" s="365"/>
      <c r="M367" s="365"/>
      <c r="N367" s="365"/>
      <c r="O367" s="365"/>
      <c r="P367" s="365"/>
      <c r="Q367" s="365"/>
      <c r="R367" s="365"/>
      <c r="S367" s="365"/>
      <c r="T367" s="365"/>
      <c r="U367" s="365"/>
      <c r="V367" s="365"/>
      <c r="W367" s="365"/>
      <c r="X367" s="365"/>
      <c r="Y367" s="365"/>
      <c r="Z367" s="365"/>
      <c r="AA367" s="365"/>
      <c r="AB367" s="365"/>
      <c r="AC367" s="365"/>
      <c r="AD367" s="365"/>
    </row>
    <row r="368" spans="1:30" s="352" customFormat="1">
      <c r="A368" s="364"/>
      <c r="B368" s="364"/>
      <c r="C368" s="365"/>
      <c r="D368" s="365"/>
      <c r="E368" s="365"/>
      <c r="F368" s="365"/>
      <c r="G368" s="365"/>
      <c r="H368" s="365"/>
      <c r="I368" s="365"/>
      <c r="J368" s="365"/>
      <c r="K368" s="365"/>
      <c r="L368" s="365"/>
      <c r="M368" s="365"/>
      <c r="N368" s="365"/>
      <c r="O368" s="365"/>
      <c r="P368" s="365"/>
      <c r="Q368" s="365"/>
      <c r="R368" s="365"/>
      <c r="S368" s="365"/>
      <c r="T368" s="365"/>
      <c r="U368" s="365"/>
      <c r="V368" s="365"/>
      <c r="W368" s="365"/>
      <c r="X368" s="365"/>
      <c r="Y368" s="365"/>
      <c r="Z368" s="365"/>
      <c r="AA368" s="365"/>
      <c r="AB368" s="365"/>
      <c r="AC368" s="365"/>
      <c r="AD368" s="365"/>
    </row>
    <row r="369" spans="1:30" s="352" customFormat="1">
      <c r="A369" s="364"/>
      <c r="B369" s="364"/>
      <c r="C369" s="365"/>
      <c r="D369" s="365"/>
      <c r="E369" s="365"/>
      <c r="F369" s="365"/>
      <c r="G369" s="365"/>
      <c r="H369" s="365"/>
      <c r="I369" s="365"/>
      <c r="J369" s="365"/>
      <c r="K369" s="365"/>
      <c r="L369" s="365"/>
      <c r="M369" s="365"/>
      <c r="N369" s="365"/>
      <c r="O369" s="365"/>
      <c r="P369" s="365"/>
      <c r="Q369" s="365"/>
      <c r="R369" s="365"/>
      <c r="S369" s="365"/>
      <c r="T369" s="365"/>
      <c r="U369" s="365"/>
      <c r="V369" s="365"/>
      <c r="W369" s="365"/>
      <c r="X369" s="365"/>
      <c r="Y369" s="365"/>
      <c r="Z369" s="365"/>
      <c r="AA369" s="365"/>
      <c r="AB369" s="365"/>
      <c r="AC369" s="365"/>
      <c r="AD369" s="365"/>
    </row>
    <row r="370" spans="1:30" s="352" customFormat="1">
      <c r="A370" s="364"/>
      <c r="B370" s="364"/>
      <c r="C370" s="365"/>
      <c r="D370" s="365"/>
      <c r="E370" s="365"/>
      <c r="F370" s="365"/>
      <c r="G370" s="365"/>
      <c r="H370" s="365"/>
      <c r="I370" s="365"/>
      <c r="J370" s="365"/>
      <c r="K370" s="365"/>
      <c r="L370" s="365"/>
      <c r="M370" s="365"/>
      <c r="N370" s="365"/>
      <c r="O370" s="365"/>
      <c r="P370" s="365"/>
      <c r="Q370" s="365"/>
      <c r="R370" s="365"/>
      <c r="S370" s="365"/>
      <c r="T370" s="365"/>
      <c r="U370" s="365"/>
      <c r="V370" s="365"/>
      <c r="W370" s="365"/>
      <c r="X370" s="365"/>
      <c r="Y370" s="365"/>
      <c r="Z370" s="365"/>
      <c r="AA370" s="365"/>
      <c r="AB370" s="365"/>
      <c r="AC370" s="365"/>
      <c r="AD370" s="365"/>
    </row>
    <row r="371" spans="1:30" s="352" customFormat="1">
      <c r="A371" s="364"/>
      <c r="B371" s="364"/>
      <c r="C371" s="365"/>
      <c r="D371" s="365"/>
      <c r="E371" s="365"/>
      <c r="F371" s="365"/>
      <c r="G371" s="365"/>
      <c r="H371" s="365"/>
      <c r="I371" s="365"/>
      <c r="J371" s="365"/>
      <c r="K371" s="365"/>
      <c r="L371" s="365"/>
      <c r="M371" s="365"/>
      <c r="N371" s="365"/>
      <c r="O371" s="365"/>
      <c r="P371" s="365"/>
      <c r="Q371" s="365"/>
      <c r="R371" s="365"/>
      <c r="S371" s="365"/>
      <c r="T371" s="365"/>
      <c r="U371" s="365"/>
      <c r="V371" s="365"/>
      <c r="W371" s="365"/>
      <c r="X371" s="365"/>
      <c r="Y371" s="365"/>
      <c r="Z371" s="365"/>
      <c r="AA371" s="365"/>
      <c r="AB371" s="365"/>
      <c r="AC371" s="365"/>
      <c r="AD371" s="365"/>
    </row>
    <row r="372" spans="1:30" s="352" customFormat="1">
      <c r="A372" s="364"/>
      <c r="B372" s="364"/>
      <c r="C372" s="365"/>
      <c r="D372" s="365"/>
      <c r="E372" s="365"/>
      <c r="F372" s="365"/>
      <c r="G372" s="365"/>
      <c r="H372" s="365"/>
      <c r="I372" s="365"/>
      <c r="J372" s="365"/>
      <c r="K372" s="365"/>
      <c r="L372" s="365"/>
      <c r="M372" s="365"/>
      <c r="N372" s="365"/>
      <c r="O372" s="365"/>
      <c r="P372" s="365"/>
      <c r="Q372" s="365"/>
      <c r="R372" s="365"/>
      <c r="S372" s="365"/>
      <c r="T372" s="365"/>
      <c r="U372" s="365"/>
      <c r="V372" s="365"/>
      <c r="W372" s="365"/>
      <c r="X372" s="365"/>
      <c r="Y372" s="365"/>
      <c r="Z372" s="365"/>
      <c r="AA372" s="365"/>
      <c r="AB372" s="365"/>
      <c r="AC372" s="365"/>
      <c r="AD372" s="365"/>
    </row>
    <row r="373" spans="1:30" s="352" customFormat="1">
      <c r="A373" s="364"/>
      <c r="B373" s="364"/>
      <c r="C373" s="365"/>
      <c r="D373" s="365"/>
      <c r="E373" s="365"/>
      <c r="F373" s="365"/>
      <c r="G373" s="365"/>
      <c r="H373" s="365"/>
      <c r="I373" s="365"/>
      <c r="J373" s="365"/>
      <c r="K373" s="365"/>
      <c r="L373" s="365"/>
      <c r="M373" s="365"/>
      <c r="N373" s="365"/>
      <c r="O373" s="365"/>
      <c r="P373" s="365"/>
      <c r="Q373" s="365"/>
      <c r="R373" s="365"/>
      <c r="S373" s="365"/>
      <c r="T373" s="365"/>
      <c r="U373" s="365"/>
      <c r="V373" s="365"/>
      <c r="W373" s="365"/>
      <c r="X373" s="365"/>
      <c r="Y373" s="365"/>
      <c r="Z373" s="365"/>
      <c r="AA373" s="365"/>
      <c r="AB373" s="365"/>
      <c r="AC373" s="365"/>
      <c r="AD373" s="365"/>
    </row>
    <row r="374" spans="1:30" s="352" customFormat="1">
      <c r="A374" s="364"/>
      <c r="B374" s="364"/>
      <c r="C374" s="365"/>
      <c r="D374" s="365"/>
      <c r="E374" s="365"/>
      <c r="F374" s="365"/>
      <c r="G374" s="365"/>
      <c r="H374" s="365"/>
      <c r="I374" s="365"/>
      <c r="J374" s="365"/>
      <c r="K374" s="365"/>
      <c r="L374" s="365"/>
      <c r="M374" s="365"/>
      <c r="N374" s="365"/>
      <c r="O374" s="365"/>
      <c r="P374" s="365"/>
      <c r="Q374" s="365"/>
      <c r="R374" s="365"/>
      <c r="S374" s="365"/>
      <c r="T374" s="365"/>
      <c r="U374" s="365"/>
      <c r="V374" s="365"/>
      <c r="W374" s="365"/>
      <c r="X374" s="365"/>
      <c r="Y374" s="365"/>
      <c r="Z374" s="365"/>
      <c r="AA374" s="365"/>
      <c r="AB374" s="365"/>
      <c r="AC374" s="365"/>
      <c r="AD374" s="365"/>
    </row>
    <row r="375" spans="1:30" s="352" customFormat="1">
      <c r="A375" s="364"/>
      <c r="B375" s="364"/>
      <c r="C375" s="365"/>
      <c r="D375" s="365"/>
      <c r="E375" s="365"/>
      <c r="F375" s="365"/>
      <c r="G375" s="365"/>
      <c r="H375" s="365"/>
      <c r="I375" s="365"/>
      <c r="J375" s="365"/>
      <c r="K375" s="365"/>
      <c r="L375" s="365"/>
      <c r="M375" s="365"/>
      <c r="N375" s="365"/>
      <c r="O375" s="365"/>
      <c r="P375" s="365"/>
      <c r="Q375" s="365"/>
      <c r="R375" s="365"/>
      <c r="S375" s="365"/>
      <c r="T375" s="365"/>
      <c r="U375" s="365"/>
      <c r="V375" s="365"/>
      <c r="W375" s="365"/>
      <c r="X375" s="365"/>
      <c r="Y375" s="365"/>
      <c r="Z375" s="365"/>
      <c r="AA375" s="365"/>
      <c r="AB375" s="365"/>
      <c r="AC375" s="365"/>
      <c r="AD375" s="365"/>
    </row>
    <row r="376" spans="1:30" s="352" customFormat="1">
      <c r="A376" s="364"/>
      <c r="B376" s="364"/>
      <c r="C376" s="365"/>
      <c r="D376" s="365"/>
      <c r="E376" s="365"/>
      <c r="F376" s="365"/>
      <c r="G376" s="365"/>
      <c r="H376" s="365"/>
      <c r="I376" s="365"/>
      <c r="J376" s="365"/>
      <c r="K376" s="365"/>
      <c r="L376" s="365"/>
      <c r="M376" s="365"/>
      <c r="N376" s="365"/>
      <c r="O376" s="365"/>
      <c r="P376" s="365"/>
      <c r="Q376" s="365"/>
      <c r="R376" s="365"/>
      <c r="S376" s="365"/>
      <c r="T376" s="365"/>
      <c r="U376" s="365"/>
      <c r="V376" s="365"/>
      <c r="W376" s="365"/>
      <c r="X376" s="365"/>
      <c r="Y376" s="365"/>
      <c r="Z376" s="365"/>
      <c r="AA376" s="365"/>
      <c r="AB376" s="365"/>
      <c r="AC376" s="365"/>
      <c r="AD376" s="365"/>
    </row>
    <row r="377" spans="1:30" s="352" customFormat="1">
      <c r="A377" s="364"/>
      <c r="B377" s="364"/>
      <c r="C377" s="365"/>
      <c r="D377" s="365"/>
      <c r="E377" s="365"/>
      <c r="F377" s="365"/>
      <c r="G377" s="365"/>
      <c r="H377" s="365"/>
      <c r="I377" s="365"/>
      <c r="J377" s="365"/>
      <c r="K377" s="365"/>
      <c r="L377" s="365"/>
      <c r="M377" s="365"/>
      <c r="N377" s="365"/>
      <c r="O377" s="365"/>
      <c r="P377" s="365"/>
      <c r="Q377" s="365"/>
      <c r="R377" s="365"/>
      <c r="S377" s="365"/>
      <c r="T377" s="365"/>
      <c r="U377" s="365"/>
      <c r="V377" s="365"/>
      <c r="W377" s="365"/>
      <c r="X377" s="365"/>
      <c r="Y377" s="365"/>
      <c r="Z377" s="365"/>
      <c r="AA377" s="365"/>
      <c r="AB377" s="365"/>
      <c r="AC377" s="365"/>
      <c r="AD377" s="365"/>
    </row>
    <row r="378" spans="1:30" s="352" customFormat="1">
      <c r="A378" s="364"/>
      <c r="B378" s="364"/>
      <c r="C378" s="365"/>
      <c r="D378" s="365"/>
      <c r="E378" s="365"/>
      <c r="F378" s="365"/>
      <c r="G378" s="365"/>
      <c r="H378" s="365"/>
      <c r="I378" s="365"/>
      <c r="J378" s="365"/>
      <c r="K378" s="365"/>
      <c r="L378" s="365"/>
      <c r="M378" s="365"/>
      <c r="N378" s="365"/>
      <c r="O378" s="365"/>
      <c r="P378" s="365"/>
      <c r="Q378" s="365"/>
      <c r="R378" s="365"/>
      <c r="S378" s="365"/>
      <c r="T378" s="365"/>
      <c r="U378" s="365"/>
      <c r="V378" s="365"/>
      <c r="W378" s="365"/>
      <c r="X378" s="365"/>
      <c r="Y378" s="365"/>
      <c r="Z378" s="365"/>
      <c r="AA378" s="365"/>
      <c r="AB378" s="365"/>
      <c r="AC378" s="365"/>
      <c r="AD378" s="365"/>
    </row>
    <row r="379" spans="1:30" s="352" customFormat="1">
      <c r="A379" s="364"/>
      <c r="B379" s="364"/>
      <c r="C379" s="365"/>
      <c r="D379" s="365"/>
      <c r="E379" s="365"/>
      <c r="F379" s="365"/>
      <c r="G379" s="365"/>
      <c r="H379" s="365"/>
      <c r="I379" s="365"/>
      <c r="J379" s="365"/>
      <c r="K379" s="365"/>
      <c r="L379" s="365"/>
      <c r="M379" s="365"/>
      <c r="N379" s="365"/>
      <c r="O379" s="365"/>
      <c r="P379" s="365"/>
      <c r="Q379" s="365"/>
      <c r="R379" s="365"/>
      <c r="S379" s="365"/>
      <c r="T379" s="365"/>
      <c r="U379" s="365"/>
      <c r="V379" s="365"/>
      <c r="W379" s="365"/>
      <c r="X379" s="365"/>
      <c r="Y379" s="365"/>
      <c r="Z379" s="365"/>
      <c r="AA379" s="365"/>
      <c r="AB379" s="365"/>
      <c r="AC379" s="365"/>
      <c r="AD379" s="365"/>
    </row>
    <row r="380" spans="1:30" s="352" customFormat="1">
      <c r="A380" s="364"/>
      <c r="B380" s="364"/>
      <c r="C380" s="365"/>
      <c r="D380" s="365"/>
      <c r="E380" s="365"/>
      <c r="F380" s="365"/>
      <c r="G380" s="365"/>
      <c r="H380" s="365"/>
      <c r="I380" s="365"/>
      <c r="J380" s="365"/>
      <c r="K380" s="365"/>
      <c r="L380" s="365"/>
      <c r="M380" s="365"/>
      <c r="N380" s="365"/>
      <c r="O380" s="365"/>
      <c r="P380" s="365"/>
      <c r="Q380" s="365"/>
      <c r="R380" s="365"/>
      <c r="S380" s="365"/>
      <c r="T380" s="365"/>
      <c r="U380" s="365"/>
      <c r="V380" s="365"/>
      <c r="W380" s="365"/>
      <c r="X380" s="365"/>
      <c r="Y380" s="365"/>
      <c r="Z380" s="365"/>
      <c r="AA380" s="365"/>
      <c r="AB380" s="365"/>
      <c r="AC380" s="365"/>
      <c r="AD380" s="365"/>
    </row>
    <row r="381" spans="1:30" s="352" customFormat="1">
      <c r="A381" s="364"/>
      <c r="B381" s="364"/>
      <c r="C381" s="365"/>
      <c r="D381" s="365"/>
      <c r="E381" s="365"/>
      <c r="F381" s="365"/>
      <c r="G381" s="365"/>
      <c r="H381" s="365"/>
      <c r="I381" s="365"/>
      <c r="J381" s="365"/>
      <c r="K381" s="365"/>
      <c r="L381" s="365"/>
      <c r="M381" s="365"/>
      <c r="N381" s="365"/>
      <c r="O381" s="365"/>
      <c r="P381" s="365"/>
      <c r="Q381" s="365"/>
      <c r="R381" s="365"/>
      <c r="S381" s="365"/>
      <c r="T381" s="365"/>
      <c r="U381" s="365"/>
      <c r="V381" s="365"/>
      <c r="W381" s="365"/>
      <c r="X381" s="365"/>
      <c r="Y381" s="365"/>
      <c r="Z381" s="365"/>
      <c r="AA381" s="365"/>
      <c r="AB381" s="365"/>
      <c r="AC381" s="365"/>
      <c r="AD381" s="365"/>
    </row>
    <row r="382" spans="1:30" s="352" customFormat="1">
      <c r="A382" s="364"/>
      <c r="B382" s="364"/>
      <c r="C382" s="365"/>
      <c r="D382" s="365"/>
      <c r="E382" s="365"/>
      <c r="F382" s="365"/>
      <c r="G382" s="365"/>
      <c r="H382" s="365"/>
      <c r="I382" s="365"/>
      <c r="J382" s="365"/>
      <c r="K382" s="365"/>
      <c r="L382" s="365"/>
      <c r="M382" s="365"/>
      <c r="N382" s="365"/>
      <c r="O382" s="365"/>
      <c r="P382" s="365"/>
      <c r="Q382" s="365"/>
      <c r="R382" s="365"/>
      <c r="S382" s="365"/>
      <c r="T382" s="365"/>
      <c r="U382" s="365"/>
      <c r="V382" s="365"/>
      <c r="W382" s="365"/>
      <c r="X382" s="365"/>
      <c r="Y382" s="365"/>
      <c r="Z382" s="365"/>
      <c r="AA382" s="365"/>
      <c r="AB382" s="365"/>
      <c r="AC382" s="365"/>
      <c r="AD382" s="365"/>
    </row>
    <row r="383" spans="1:30" s="352" customFormat="1">
      <c r="A383" s="364"/>
      <c r="B383" s="364"/>
      <c r="C383" s="365"/>
      <c r="D383" s="365"/>
      <c r="E383" s="365"/>
      <c r="F383" s="365"/>
      <c r="G383" s="365"/>
      <c r="H383" s="365"/>
      <c r="I383" s="365"/>
      <c r="J383" s="365"/>
      <c r="K383" s="365"/>
      <c r="L383" s="365"/>
      <c r="M383" s="365"/>
      <c r="N383" s="365"/>
      <c r="O383" s="365"/>
      <c r="P383" s="365"/>
      <c r="Q383" s="365"/>
      <c r="R383" s="365"/>
      <c r="S383" s="365"/>
      <c r="T383" s="365"/>
      <c r="U383" s="365"/>
      <c r="V383" s="365"/>
      <c r="W383" s="365"/>
      <c r="X383" s="365"/>
      <c r="Y383" s="365"/>
      <c r="Z383" s="365"/>
      <c r="AA383" s="365"/>
      <c r="AB383" s="365"/>
      <c r="AC383" s="365"/>
      <c r="AD383" s="365"/>
    </row>
    <row r="384" spans="1:30" s="352" customFormat="1">
      <c r="A384" s="364"/>
      <c r="B384" s="364"/>
      <c r="C384" s="365"/>
      <c r="D384" s="365"/>
      <c r="E384" s="365"/>
      <c r="F384" s="365"/>
      <c r="G384" s="365"/>
      <c r="H384" s="365"/>
      <c r="I384" s="365"/>
      <c r="J384" s="365"/>
      <c r="K384" s="365"/>
      <c r="L384" s="365"/>
      <c r="M384" s="365"/>
      <c r="N384" s="365"/>
      <c r="O384" s="365"/>
      <c r="P384" s="365"/>
      <c r="Q384" s="365"/>
      <c r="R384" s="365"/>
      <c r="S384" s="365"/>
      <c r="T384" s="365"/>
      <c r="U384" s="365"/>
      <c r="V384" s="365"/>
      <c r="W384" s="365"/>
      <c r="X384" s="365"/>
      <c r="Y384" s="365"/>
      <c r="Z384" s="365"/>
      <c r="AA384" s="365"/>
      <c r="AB384" s="365"/>
      <c r="AC384" s="365"/>
      <c r="AD384" s="365"/>
    </row>
    <row r="385" spans="1:30" s="352" customFormat="1">
      <c r="A385" s="364"/>
      <c r="B385" s="364"/>
      <c r="C385" s="365"/>
      <c r="D385" s="365"/>
      <c r="E385" s="365"/>
      <c r="F385" s="365"/>
      <c r="G385" s="365"/>
      <c r="H385" s="365"/>
      <c r="I385" s="365"/>
      <c r="J385" s="365"/>
      <c r="K385" s="365"/>
      <c r="L385" s="365"/>
      <c r="M385" s="365"/>
      <c r="N385" s="365"/>
      <c r="O385" s="365"/>
      <c r="P385" s="365"/>
      <c r="Q385" s="365"/>
      <c r="R385" s="365"/>
      <c r="S385" s="365"/>
      <c r="T385" s="365"/>
      <c r="U385" s="365"/>
      <c r="V385" s="365"/>
      <c r="W385" s="365"/>
      <c r="X385" s="365"/>
      <c r="Y385" s="365"/>
      <c r="Z385" s="365"/>
      <c r="AA385" s="365"/>
      <c r="AB385" s="365"/>
      <c r="AC385" s="365"/>
      <c r="AD385" s="365"/>
    </row>
    <row r="386" spans="1:30" s="352" customFormat="1">
      <c r="A386" s="364"/>
      <c r="B386" s="364"/>
      <c r="C386" s="365"/>
      <c r="D386" s="365"/>
      <c r="E386" s="365"/>
      <c r="F386" s="365"/>
      <c r="G386" s="365"/>
      <c r="H386" s="365"/>
      <c r="I386" s="365"/>
      <c r="J386" s="365"/>
      <c r="K386" s="365"/>
      <c r="L386" s="365"/>
      <c r="M386" s="365"/>
      <c r="N386" s="365"/>
      <c r="O386" s="365"/>
      <c r="P386" s="365"/>
      <c r="Q386" s="365"/>
      <c r="R386" s="365"/>
      <c r="S386" s="365"/>
      <c r="T386" s="365"/>
      <c r="U386" s="365"/>
      <c r="V386" s="365"/>
      <c r="W386" s="365"/>
      <c r="X386" s="365"/>
      <c r="Y386" s="365"/>
      <c r="Z386" s="365"/>
      <c r="AA386" s="365"/>
      <c r="AB386" s="365"/>
      <c r="AC386" s="365"/>
      <c r="AD386" s="365"/>
    </row>
    <row r="387" spans="1:30" s="352" customFormat="1">
      <c r="A387" s="364"/>
      <c r="B387" s="364"/>
      <c r="C387" s="365"/>
      <c r="D387" s="365"/>
      <c r="E387" s="365"/>
      <c r="F387" s="365"/>
      <c r="G387" s="365"/>
      <c r="H387" s="365"/>
      <c r="I387" s="365"/>
      <c r="J387" s="365"/>
      <c r="K387" s="365"/>
      <c r="L387" s="365"/>
      <c r="M387" s="365"/>
      <c r="N387" s="365"/>
      <c r="O387" s="365"/>
      <c r="P387" s="365"/>
      <c r="Q387" s="365"/>
      <c r="R387" s="365"/>
      <c r="S387" s="365"/>
      <c r="T387" s="365"/>
      <c r="U387" s="365"/>
      <c r="V387" s="365"/>
      <c r="W387" s="365"/>
      <c r="X387" s="365"/>
      <c r="Y387" s="365"/>
      <c r="Z387" s="365"/>
      <c r="AA387" s="365"/>
      <c r="AB387" s="365"/>
      <c r="AC387" s="365"/>
      <c r="AD387" s="365"/>
    </row>
    <row r="388" spans="1:30" s="352" customFormat="1">
      <c r="A388" s="364"/>
      <c r="B388" s="364"/>
      <c r="C388" s="365"/>
      <c r="D388" s="365"/>
      <c r="E388" s="365"/>
      <c r="F388" s="365"/>
      <c r="G388" s="365"/>
      <c r="H388" s="365"/>
      <c r="I388" s="365"/>
      <c r="J388" s="365"/>
      <c r="K388" s="365"/>
      <c r="L388" s="365"/>
      <c r="M388" s="365"/>
      <c r="N388" s="365"/>
      <c r="O388" s="365"/>
      <c r="P388" s="365"/>
      <c r="Q388" s="365"/>
      <c r="R388" s="365"/>
      <c r="S388" s="365"/>
      <c r="T388" s="365"/>
      <c r="U388" s="365"/>
      <c r="V388" s="365"/>
      <c r="W388" s="365"/>
      <c r="X388" s="365"/>
      <c r="Y388" s="365"/>
      <c r="Z388" s="365"/>
      <c r="AA388" s="365"/>
      <c r="AB388" s="365"/>
      <c r="AC388" s="365"/>
      <c r="AD388" s="365"/>
    </row>
    <row r="389" spans="1:30" s="352" customFormat="1">
      <c r="A389" s="364"/>
      <c r="B389" s="364"/>
      <c r="C389" s="365"/>
      <c r="D389" s="365"/>
      <c r="E389" s="365"/>
      <c r="F389" s="365"/>
      <c r="G389" s="365"/>
      <c r="H389" s="365"/>
      <c r="I389" s="365"/>
      <c r="J389" s="365"/>
      <c r="K389" s="365"/>
      <c r="L389" s="365"/>
      <c r="M389" s="365"/>
      <c r="N389" s="365"/>
      <c r="O389" s="365"/>
      <c r="P389" s="365"/>
      <c r="Q389" s="365"/>
      <c r="R389" s="365"/>
      <c r="S389" s="365"/>
      <c r="T389" s="365"/>
      <c r="U389" s="365"/>
      <c r="V389" s="365"/>
      <c r="W389" s="365"/>
      <c r="X389" s="365"/>
      <c r="Y389" s="365"/>
      <c r="Z389" s="365"/>
      <c r="AA389" s="365"/>
      <c r="AB389" s="365"/>
      <c r="AC389" s="365"/>
      <c r="AD389" s="365"/>
    </row>
    <row r="390" spans="1:30" s="352" customFormat="1">
      <c r="A390" s="364"/>
      <c r="B390" s="364"/>
      <c r="C390" s="365"/>
      <c r="D390" s="365"/>
      <c r="E390" s="365"/>
      <c r="F390" s="365"/>
      <c r="G390" s="365"/>
      <c r="H390" s="365"/>
      <c r="I390" s="365"/>
      <c r="J390" s="365"/>
      <c r="K390" s="365"/>
      <c r="L390" s="365"/>
      <c r="M390" s="365"/>
      <c r="N390" s="365"/>
      <c r="O390" s="365"/>
      <c r="P390" s="365"/>
      <c r="Q390" s="365"/>
      <c r="R390" s="365"/>
      <c r="S390" s="365"/>
      <c r="T390" s="365"/>
      <c r="U390" s="365"/>
      <c r="V390" s="365"/>
      <c r="W390" s="365"/>
      <c r="X390" s="365"/>
      <c r="Y390" s="365"/>
      <c r="Z390" s="365"/>
      <c r="AA390" s="365"/>
      <c r="AB390" s="365"/>
      <c r="AC390" s="365"/>
      <c r="AD390" s="365"/>
    </row>
    <row r="391" spans="1:30" s="352" customFormat="1">
      <c r="A391" s="364"/>
      <c r="B391" s="364"/>
      <c r="C391" s="365"/>
      <c r="D391" s="365"/>
      <c r="E391" s="365"/>
      <c r="F391" s="365"/>
      <c r="G391" s="365"/>
      <c r="H391" s="365"/>
      <c r="I391" s="365"/>
      <c r="J391" s="365"/>
      <c r="K391" s="365"/>
      <c r="L391" s="365"/>
      <c r="M391" s="365"/>
      <c r="N391" s="365"/>
      <c r="O391" s="365"/>
      <c r="P391" s="365"/>
      <c r="Q391" s="365"/>
      <c r="R391" s="365"/>
      <c r="S391" s="365"/>
      <c r="T391" s="365"/>
      <c r="U391" s="365"/>
      <c r="V391" s="365"/>
      <c r="W391" s="365"/>
      <c r="X391" s="365"/>
      <c r="Y391" s="365"/>
      <c r="Z391" s="365"/>
      <c r="AA391" s="365"/>
      <c r="AB391" s="365"/>
      <c r="AC391" s="365"/>
      <c r="AD391" s="365"/>
    </row>
    <row r="392" spans="1:30" s="352" customFormat="1">
      <c r="A392" s="364"/>
      <c r="B392" s="364"/>
      <c r="C392" s="365"/>
      <c r="D392" s="365"/>
      <c r="E392" s="365"/>
      <c r="F392" s="365"/>
      <c r="G392" s="365"/>
      <c r="H392" s="365"/>
      <c r="I392" s="365"/>
      <c r="J392" s="365"/>
      <c r="K392" s="365"/>
      <c r="L392" s="365"/>
      <c r="M392" s="365"/>
      <c r="N392" s="365"/>
      <c r="O392" s="365"/>
      <c r="P392" s="365"/>
      <c r="Q392" s="365"/>
      <c r="R392" s="365"/>
      <c r="S392" s="365"/>
      <c r="T392" s="365"/>
      <c r="U392" s="365"/>
      <c r="V392" s="365"/>
      <c r="W392" s="365"/>
      <c r="X392" s="365"/>
      <c r="Y392" s="365"/>
      <c r="Z392" s="365"/>
      <c r="AA392" s="365"/>
      <c r="AB392" s="365"/>
      <c r="AC392" s="365"/>
      <c r="AD392" s="365"/>
    </row>
    <row r="393" spans="1:30" s="352" customFormat="1">
      <c r="A393" s="364"/>
      <c r="B393" s="364"/>
      <c r="C393" s="365"/>
      <c r="D393" s="365"/>
      <c r="E393" s="365"/>
      <c r="F393" s="365"/>
      <c r="G393" s="365"/>
      <c r="H393" s="365"/>
      <c r="I393" s="365"/>
      <c r="J393" s="365"/>
      <c r="K393" s="365"/>
      <c r="L393" s="365"/>
      <c r="M393" s="365"/>
      <c r="N393" s="365"/>
      <c r="O393" s="365"/>
      <c r="P393" s="365"/>
      <c r="Q393" s="365"/>
      <c r="R393" s="365"/>
      <c r="S393" s="365"/>
      <c r="T393" s="365"/>
      <c r="U393" s="365"/>
      <c r="V393" s="365"/>
      <c r="W393" s="365"/>
      <c r="X393" s="365"/>
      <c r="Y393" s="365"/>
      <c r="Z393" s="365"/>
      <c r="AA393" s="365"/>
      <c r="AB393" s="365"/>
      <c r="AC393" s="365"/>
      <c r="AD393" s="365"/>
    </row>
    <row r="394" spans="1:30" s="352" customFormat="1">
      <c r="A394" s="364"/>
      <c r="B394" s="364"/>
      <c r="C394" s="365"/>
      <c r="D394" s="365"/>
      <c r="E394" s="365"/>
      <c r="F394" s="365"/>
      <c r="G394" s="365"/>
      <c r="H394" s="365"/>
      <c r="I394" s="365"/>
      <c r="J394" s="365"/>
      <c r="K394" s="365"/>
      <c r="L394" s="365"/>
      <c r="M394" s="365"/>
      <c r="N394" s="365"/>
      <c r="O394" s="365"/>
      <c r="P394" s="365"/>
      <c r="Q394" s="365"/>
      <c r="R394" s="365"/>
      <c r="S394" s="365"/>
      <c r="T394" s="365"/>
      <c r="U394" s="365"/>
      <c r="V394" s="365"/>
      <c r="W394" s="365"/>
      <c r="X394" s="365"/>
      <c r="Y394" s="365"/>
      <c r="Z394" s="365"/>
      <c r="AA394" s="365"/>
      <c r="AB394" s="365"/>
      <c r="AC394" s="365"/>
      <c r="AD394" s="365"/>
    </row>
    <row r="395" spans="1:30" s="352" customFormat="1">
      <c r="A395" s="364"/>
      <c r="B395" s="364"/>
      <c r="C395" s="365"/>
      <c r="D395" s="365"/>
      <c r="E395" s="365"/>
      <c r="F395" s="365"/>
      <c r="G395" s="365"/>
      <c r="H395" s="365"/>
      <c r="I395" s="365"/>
      <c r="J395" s="365"/>
      <c r="K395" s="365"/>
      <c r="L395" s="365"/>
      <c r="M395" s="365"/>
      <c r="N395" s="365"/>
      <c r="O395" s="365"/>
      <c r="P395" s="365"/>
      <c r="Q395" s="365"/>
      <c r="R395" s="365"/>
      <c r="S395" s="365"/>
      <c r="T395" s="365"/>
      <c r="U395" s="365"/>
      <c r="V395" s="365"/>
      <c r="W395" s="365"/>
      <c r="X395" s="365"/>
      <c r="Y395" s="365"/>
      <c r="Z395" s="365"/>
      <c r="AA395" s="365"/>
      <c r="AB395" s="365"/>
      <c r="AC395" s="365"/>
      <c r="AD395" s="365"/>
    </row>
    <row r="396" spans="1:30" s="352" customFormat="1">
      <c r="A396" s="364"/>
      <c r="B396" s="364"/>
      <c r="C396" s="365"/>
      <c r="D396" s="365"/>
      <c r="E396" s="365"/>
      <c r="F396" s="365"/>
      <c r="G396" s="365"/>
      <c r="H396" s="365"/>
      <c r="I396" s="365"/>
      <c r="J396" s="365"/>
      <c r="K396" s="365"/>
      <c r="L396" s="365"/>
      <c r="M396" s="365"/>
      <c r="N396" s="365"/>
      <c r="O396" s="365"/>
      <c r="P396" s="365"/>
      <c r="Q396" s="365"/>
      <c r="R396" s="365"/>
      <c r="S396" s="365"/>
      <c r="T396" s="365"/>
      <c r="U396" s="365"/>
      <c r="V396" s="365"/>
      <c r="W396" s="365"/>
      <c r="X396" s="365"/>
      <c r="Y396" s="365"/>
      <c r="Z396" s="365"/>
      <c r="AA396" s="365"/>
      <c r="AB396" s="365"/>
      <c r="AC396" s="365"/>
      <c r="AD396" s="365"/>
    </row>
    <row r="397" spans="1:30" s="352" customFormat="1">
      <c r="A397" s="364"/>
      <c r="B397" s="364"/>
      <c r="C397" s="365"/>
      <c r="D397" s="365"/>
      <c r="E397" s="365"/>
      <c r="F397" s="365"/>
      <c r="G397" s="365"/>
      <c r="H397" s="365"/>
      <c r="I397" s="365"/>
      <c r="J397" s="365"/>
      <c r="K397" s="365"/>
      <c r="L397" s="365"/>
      <c r="M397" s="365"/>
      <c r="N397" s="365"/>
      <c r="O397" s="365"/>
      <c r="P397" s="365"/>
      <c r="Q397" s="365"/>
      <c r="R397" s="365"/>
      <c r="S397" s="365"/>
      <c r="T397" s="365"/>
      <c r="U397" s="365"/>
      <c r="V397" s="365"/>
      <c r="W397" s="365"/>
      <c r="X397" s="365"/>
      <c r="Y397" s="365"/>
      <c r="Z397" s="365"/>
      <c r="AA397" s="365"/>
      <c r="AB397" s="365"/>
      <c r="AC397" s="365"/>
      <c r="AD397" s="365"/>
    </row>
    <row r="398" spans="1:30" s="352" customFormat="1">
      <c r="A398" s="364"/>
      <c r="B398" s="364"/>
      <c r="C398" s="365"/>
      <c r="D398" s="365"/>
      <c r="E398" s="365"/>
      <c r="F398" s="365"/>
      <c r="G398" s="365"/>
      <c r="H398" s="365"/>
      <c r="I398" s="365"/>
      <c r="J398" s="365"/>
      <c r="K398" s="365"/>
      <c r="L398" s="365"/>
      <c r="M398" s="365"/>
      <c r="N398" s="365"/>
      <c r="O398" s="365"/>
      <c r="P398" s="365"/>
      <c r="Q398" s="365"/>
      <c r="R398" s="365"/>
      <c r="S398" s="365"/>
      <c r="T398" s="365"/>
      <c r="U398" s="365"/>
      <c r="V398" s="365"/>
      <c r="W398" s="365"/>
      <c r="X398" s="365"/>
      <c r="Y398" s="365"/>
      <c r="Z398" s="365"/>
      <c r="AA398" s="365"/>
      <c r="AB398" s="365"/>
      <c r="AC398" s="365"/>
      <c r="AD398" s="365"/>
    </row>
    <row r="399" spans="1:30" s="352" customFormat="1">
      <c r="A399" s="364"/>
      <c r="B399" s="364"/>
      <c r="C399" s="365"/>
      <c r="D399" s="365"/>
      <c r="E399" s="365"/>
      <c r="F399" s="365"/>
      <c r="G399" s="365"/>
      <c r="H399" s="365"/>
      <c r="I399" s="365"/>
      <c r="J399" s="365"/>
      <c r="K399" s="365"/>
      <c r="L399" s="365"/>
      <c r="M399" s="365"/>
      <c r="N399" s="365"/>
      <c r="O399" s="365"/>
      <c r="P399" s="365"/>
      <c r="Q399" s="365"/>
      <c r="R399" s="365"/>
      <c r="S399" s="365"/>
      <c r="T399" s="365"/>
      <c r="U399" s="365"/>
      <c r="V399" s="365"/>
      <c r="W399" s="365"/>
      <c r="X399" s="365"/>
      <c r="Y399" s="365"/>
      <c r="Z399" s="365"/>
      <c r="AA399" s="365"/>
      <c r="AB399" s="365"/>
      <c r="AC399" s="365"/>
      <c r="AD399" s="365"/>
    </row>
    <row r="400" spans="1:30" s="352" customFormat="1">
      <c r="A400" s="364"/>
      <c r="B400" s="364"/>
      <c r="C400" s="365"/>
      <c r="D400" s="365"/>
      <c r="E400" s="365"/>
      <c r="F400" s="365"/>
      <c r="G400" s="365"/>
      <c r="H400" s="365"/>
      <c r="I400" s="365"/>
      <c r="J400" s="365"/>
      <c r="K400" s="365"/>
      <c r="L400" s="365"/>
      <c r="M400" s="365"/>
      <c r="N400" s="365"/>
      <c r="O400" s="365"/>
      <c r="P400" s="365"/>
      <c r="Q400" s="365"/>
      <c r="R400" s="365"/>
      <c r="S400" s="365"/>
      <c r="T400" s="365"/>
      <c r="U400" s="365"/>
      <c r="V400" s="365"/>
      <c r="W400" s="365"/>
      <c r="X400" s="365"/>
      <c r="Y400" s="365"/>
      <c r="Z400" s="365"/>
      <c r="AA400" s="365"/>
      <c r="AB400" s="365"/>
      <c r="AC400" s="365"/>
      <c r="AD400" s="365"/>
    </row>
    <row r="401" spans="1:30" s="352" customFormat="1">
      <c r="A401" s="364"/>
      <c r="B401" s="364"/>
      <c r="C401" s="365"/>
      <c r="D401" s="365"/>
      <c r="E401" s="365"/>
      <c r="F401" s="365"/>
      <c r="G401" s="365"/>
      <c r="H401" s="365"/>
      <c r="I401" s="365"/>
      <c r="J401" s="365"/>
      <c r="K401" s="365"/>
      <c r="L401" s="365"/>
      <c r="M401" s="365"/>
      <c r="N401" s="365"/>
      <c r="O401" s="365"/>
      <c r="P401" s="365"/>
      <c r="Q401" s="365"/>
      <c r="R401" s="365"/>
      <c r="S401" s="365"/>
      <c r="T401" s="365"/>
      <c r="U401" s="365"/>
      <c r="V401" s="365"/>
      <c r="W401" s="365"/>
      <c r="X401" s="365"/>
      <c r="Y401" s="365"/>
      <c r="Z401" s="365"/>
      <c r="AA401" s="365"/>
      <c r="AB401" s="365"/>
      <c r="AC401" s="365"/>
      <c r="AD401" s="365"/>
    </row>
    <row r="402" spans="1:30" s="352" customFormat="1">
      <c r="A402" s="364"/>
      <c r="B402" s="364"/>
      <c r="C402" s="365"/>
      <c r="D402" s="365"/>
      <c r="E402" s="365"/>
      <c r="F402" s="365"/>
      <c r="G402" s="365"/>
      <c r="H402" s="365"/>
      <c r="I402" s="365"/>
      <c r="J402" s="365"/>
      <c r="K402" s="365"/>
      <c r="L402" s="365"/>
      <c r="M402" s="365"/>
      <c r="N402" s="365"/>
      <c r="O402" s="365"/>
      <c r="P402" s="365"/>
      <c r="Q402" s="365"/>
      <c r="R402" s="365"/>
      <c r="S402" s="365"/>
      <c r="T402" s="365"/>
      <c r="U402" s="365"/>
      <c r="V402" s="365"/>
      <c r="W402" s="365"/>
      <c r="X402" s="365"/>
      <c r="Y402" s="365"/>
      <c r="Z402" s="365"/>
      <c r="AA402" s="365"/>
      <c r="AB402" s="365"/>
      <c r="AC402" s="365"/>
      <c r="AD402" s="365"/>
    </row>
    <row r="403" spans="1:30" s="352" customFormat="1">
      <c r="A403" s="364"/>
      <c r="B403" s="364"/>
      <c r="C403" s="365"/>
      <c r="D403" s="365"/>
      <c r="E403" s="365"/>
      <c r="F403" s="365"/>
      <c r="G403" s="365"/>
      <c r="H403" s="365"/>
      <c r="I403" s="365"/>
      <c r="J403" s="365"/>
      <c r="K403" s="365"/>
      <c r="L403" s="365"/>
      <c r="M403" s="365"/>
      <c r="N403" s="365"/>
      <c r="O403" s="365"/>
      <c r="P403" s="365"/>
      <c r="Q403" s="365"/>
      <c r="R403" s="365"/>
      <c r="S403" s="365"/>
      <c r="T403" s="365"/>
      <c r="U403" s="365"/>
      <c r="V403" s="365"/>
      <c r="W403" s="365"/>
      <c r="X403" s="365"/>
      <c r="Y403" s="365"/>
      <c r="Z403" s="365"/>
      <c r="AA403" s="365"/>
      <c r="AB403" s="365"/>
      <c r="AC403" s="365"/>
      <c r="AD403" s="365"/>
    </row>
    <row r="404" spans="1:30" s="352" customFormat="1">
      <c r="A404" s="364"/>
      <c r="B404" s="364"/>
      <c r="C404" s="365"/>
      <c r="D404" s="365"/>
      <c r="E404" s="365"/>
      <c r="F404" s="365"/>
      <c r="G404" s="365"/>
      <c r="H404" s="365"/>
      <c r="I404" s="365"/>
      <c r="J404" s="365"/>
      <c r="K404" s="365"/>
      <c r="L404" s="365"/>
      <c r="M404" s="365"/>
      <c r="N404" s="365"/>
      <c r="O404" s="365"/>
      <c r="P404" s="365"/>
      <c r="Q404" s="365"/>
      <c r="R404" s="365"/>
      <c r="S404" s="365"/>
      <c r="T404" s="365"/>
      <c r="U404" s="365"/>
      <c r="V404" s="365"/>
      <c r="W404" s="365"/>
      <c r="X404" s="365"/>
      <c r="Y404" s="365"/>
      <c r="Z404" s="365"/>
      <c r="AA404" s="365"/>
      <c r="AB404" s="365"/>
      <c r="AC404" s="365"/>
      <c r="AD404" s="365"/>
    </row>
    <row r="405" spans="1:30" s="352" customFormat="1">
      <c r="A405" s="364"/>
      <c r="B405" s="364"/>
      <c r="C405" s="365"/>
      <c r="D405" s="365"/>
      <c r="E405" s="365"/>
      <c r="F405" s="365"/>
      <c r="G405" s="365"/>
      <c r="H405" s="365"/>
      <c r="I405" s="365"/>
      <c r="J405" s="365"/>
      <c r="K405" s="365"/>
      <c r="L405" s="365"/>
      <c r="M405" s="365"/>
      <c r="N405" s="365"/>
      <c r="O405" s="365"/>
      <c r="P405" s="365"/>
      <c r="Q405" s="365"/>
      <c r="R405" s="365"/>
      <c r="S405" s="365"/>
      <c r="T405" s="365"/>
      <c r="U405" s="365"/>
      <c r="V405" s="365"/>
      <c r="W405" s="365"/>
      <c r="X405" s="365"/>
      <c r="Y405" s="365"/>
      <c r="Z405" s="365"/>
      <c r="AA405" s="365"/>
      <c r="AB405" s="365"/>
      <c r="AC405" s="365"/>
      <c r="AD405" s="365"/>
    </row>
    <row r="406" spans="1:30" s="352" customFormat="1">
      <c r="A406" s="364"/>
      <c r="B406" s="364"/>
      <c r="C406" s="365"/>
      <c r="D406" s="365"/>
      <c r="E406" s="365"/>
      <c r="F406" s="365"/>
      <c r="G406" s="365"/>
      <c r="H406" s="365"/>
      <c r="I406" s="365"/>
      <c r="J406" s="365"/>
      <c r="K406" s="365"/>
      <c r="L406" s="365"/>
      <c r="M406" s="365"/>
      <c r="N406" s="365"/>
      <c r="O406" s="365"/>
      <c r="P406" s="365"/>
      <c r="Q406" s="365"/>
      <c r="R406" s="365"/>
      <c r="S406" s="365"/>
      <c r="T406" s="365"/>
      <c r="U406" s="365"/>
      <c r="V406" s="365"/>
      <c r="W406" s="365"/>
      <c r="X406" s="365"/>
      <c r="Y406" s="365"/>
      <c r="Z406" s="365"/>
      <c r="AA406" s="365"/>
      <c r="AB406" s="365"/>
      <c r="AC406" s="365"/>
      <c r="AD406" s="365"/>
    </row>
    <row r="407" spans="1:30" s="352" customFormat="1">
      <c r="A407" s="364"/>
      <c r="B407" s="364"/>
      <c r="C407" s="365"/>
      <c r="D407" s="365"/>
      <c r="E407" s="365"/>
      <c r="F407" s="365"/>
      <c r="G407" s="365"/>
      <c r="H407" s="365"/>
      <c r="I407" s="365"/>
      <c r="J407" s="365"/>
      <c r="K407" s="365"/>
      <c r="L407" s="365"/>
      <c r="M407" s="365"/>
      <c r="N407" s="365"/>
      <c r="O407" s="365"/>
      <c r="P407" s="365"/>
      <c r="Q407" s="365"/>
      <c r="R407" s="365"/>
      <c r="S407" s="365"/>
      <c r="T407" s="365"/>
      <c r="U407" s="365"/>
      <c r="V407" s="365"/>
      <c r="W407" s="365"/>
      <c r="X407" s="365"/>
      <c r="Y407" s="365"/>
      <c r="Z407" s="365"/>
      <c r="AA407" s="365"/>
      <c r="AB407" s="365"/>
      <c r="AC407" s="365"/>
      <c r="AD407" s="365"/>
    </row>
    <row r="408" spans="1:30" s="352" customFormat="1">
      <c r="A408" s="364"/>
      <c r="B408" s="364"/>
      <c r="C408" s="365"/>
      <c r="D408" s="365"/>
      <c r="E408" s="365"/>
      <c r="F408" s="365"/>
      <c r="G408" s="365"/>
      <c r="H408" s="365"/>
      <c r="I408" s="365"/>
      <c r="J408" s="365"/>
      <c r="K408" s="365"/>
      <c r="L408" s="365"/>
      <c r="M408" s="365"/>
      <c r="N408" s="365"/>
      <c r="O408" s="365"/>
      <c r="P408" s="365"/>
      <c r="Q408" s="365"/>
      <c r="R408" s="365"/>
      <c r="S408" s="365"/>
      <c r="T408" s="365"/>
      <c r="U408" s="365"/>
      <c r="V408" s="365"/>
      <c r="W408" s="365"/>
      <c r="X408" s="365"/>
      <c r="Y408" s="365"/>
      <c r="Z408" s="365"/>
      <c r="AA408" s="365"/>
      <c r="AB408" s="365"/>
      <c r="AC408" s="365"/>
      <c r="AD408" s="365"/>
    </row>
    <row r="409" spans="1:30" s="352" customFormat="1">
      <c r="A409" s="364"/>
      <c r="B409" s="364"/>
      <c r="C409" s="365"/>
      <c r="D409" s="365"/>
      <c r="E409" s="365"/>
      <c r="F409" s="365"/>
      <c r="G409" s="365"/>
      <c r="H409" s="365"/>
      <c r="I409" s="365"/>
      <c r="J409" s="365"/>
      <c r="K409" s="365"/>
      <c r="L409" s="365"/>
      <c r="M409" s="365"/>
      <c r="N409" s="365"/>
      <c r="O409" s="365"/>
      <c r="P409" s="365"/>
      <c r="Q409" s="365"/>
      <c r="R409" s="365"/>
      <c r="S409" s="365"/>
      <c r="T409" s="365"/>
      <c r="U409" s="365"/>
      <c r="V409" s="365"/>
      <c r="W409" s="365"/>
      <c r="X409" s="365"/>
      <c r="Y409" s="365"/>
      <c r="Z409" s="365"/>
      <c r="AA409" s="365"/>
      <c r="AB409" s="365"/>
      <c r="AC409" s="365"/>
      <c r="AD409" s="365"/>
    </row>
    <row r="410" spans="1:30" s="352" customFormat="1">
      <c r="A410" s="364"/>
      <c r="B410" s="364"/>
      <c r="C410" s="365"/>
      <c r="D410" s="365"/>
      <c r="E410" s="365"/>
      <c r="F410" s="365"/>
      <c r="G410" s="365"/>
      <c r="H410" s="365"/>
      <c r="I410" s="365"/>
      <c r="J410" s="365"/>
      <c r="K410" s="365"/>
      <c r="L410" s="365"/>
      <c r="M410" s="365"/>
      <c r="N410" s="365"/>
      <c r="O410" s="365"/>
      <c r="P410" s="365"/>
      <c r="Q410" s="365"/>
      <c r="R410" s="365"/>
      <c r="S410" s="365"/>
      <c r="T410" s="365"/>
      <c r="U410" s="365"/>
      <c r="V410" s="365"/>
      <c r="W410" s="365"/>
      <c r="X410" s="365"/>
      <c r="Y410" s="365"/>
      <c r="Z410" s="365"/>
      <c r="AA410" s="365"/>
      <c r="AB410" s="365"/>
      <c r="AC410" s="365"/>
      <c r="AD410" s="365"/>
    </row>
    <row r="411" spans="1:30" s="352" customFormat="1">
      <c r="A411" s="364"/>
      <c r="B411" s="364"/>
      <c r="C411" s="365"/>
      <c r="D411" s="365"/>
      <c r="E411" s="365"/>
      <c r="F411" s="365"/>
      <c r="G411" s="365"/>
      <c r="H411" s="365"/>
      <c r="I411" s="365"/>
      <c r="J411" s="365"/>
      <c r="K411" s="365"/>
      <c r="L411" s="365"/>
      <c r="M411" s="365"/>
      <c r="N411" s="365"/>
      <c r="O411" s="365"/>
      <c r="P411" s="365"/>
      <c r="Q411" s="365"/>
      <c r="R411" s="365"/>
      <c r="S411" s="365"/>
      <c r="T411" s="365"/>
      <c r="U411" s="365"/>
      <c r="V411" s="365"/>
      <c r="W411" s="365"/>
      <c r="X411" s="365"/>
      <c r="Y411" s="365"/>
      <c r="Z411" s="365"/>
      <c r="AA411" s="365"/>
      <c r="AB411" s="365"/>
      <c r="AC411" s="365"/>
      <c r="AD411" s="365"/>
    </row>
    <row r="412" spans="1:30" s="352" customFormat="1">
      <c r="A412" s="364"/>
      <c r="B412" s="364"/>
      <c r="C412" s="365"/>
      <c r="D412" s="365"/>
      <c r="E412" s="365"/>
      <c r="F412" s="365"/>
      <c r="G412" s="365"/>
      <c r="H412" s="365"/>
      <c r="I412" s="365"/>
      <c r="J412" s="365"/>
      <c r="K412" s="365"/>
      <c r="L412" s="365"/>
      <c r="M412" s="365"/>
      <c r="N412" s="365"/>
      <c r="O412" s="365"/>
      <c r="P412" s="365"/>
      <c r="Q412" s="365"/>
      <c r="R412" s="365"/>
      <c r="S412" s="365"/>
      <c r="T412" s="365"/>
      <c r="U412" s="365"/>
      <c r="V412" s="365"/>
      <c r="W412" s="365"/>
      <c r="X412" s="365"/>
      <c r="Y412" s="365"/>
      <c r="Z412" s="365"/>
      <c r="AA412" s="365"/>
      <c r="AB412" s="365"/>
      <c r="AC412" s="365"/>
      <c r="AD412" s="365"/>
    </row>
    <row r="413" spans="1:30" s="352" customFormat="1">
      <c r="A413" s="364"/>
      <c r="B413" s="364"/>
      <c r="C413" s="365"/>
      <c r="D413" s="365"/>
      <c r="E413" s="365"/>
      <c r="F413" s="365"/>
      <c r="G413" s="365"/>
      <c r="H413" s="365"/>
      <c r="I413" s="365"/>
      <c r="J413" s="365"/>
      <c r="K413" s="365"/>
      <c r="L413" s="365"/>
      <c r="M413" s="365"/>
      <c r="N413" s="365"/>
      <c r="O413" s="365"/>
      <c r="P413" s="365"/>
      <c r="Q413" s="365"/>
      <c r="R413" s="365"/>
      <c r="S413" s="365"/>
      <c r="T413" s="365"/>
      <c r="U413" s="365"/>
      <c r="V413" s="365"/>
      <c r="W413" s="365"/>
      <c r="X413" s="365"/>
      <c r="Y413" s="365"/>
      <c r="Z413" s="365"/>
      <c r="AA413" s="365"/>
      <c r="AB413" s="365"/>
      <c r="AC413" s="365"/>
      <c r="AD413" s="365"/>
    </row>
    <row r="414" spans="1:30" s="352" customFormat="1">
      <c r="A414" s="364"/>
      <c r="B414" s="364"/>
      <c r="C414" s="365"/>
      <c r="D414" s="365"/>
      <c r="E414" s="365"/>
      <c r="F414" s="365"/>
      <c r="G414" s="365"/>
      <c r="H414" s="365"/>
      <c r="I414" s="365"/>
      <c r="J414" s="365"/>
      <c r="K414" s="365"/>
      <c r="L414" s="365"/>
      <c r="M414" s="365"/>
      <c r="N414" s="365"/>
      <c r="O414" s="365"/>
      <c r="P414" s="365"/>
      <c r="Q414" s="365"/>
      <c r="R414" s="365"/>
      <c r="S414" s="365"/>
      <c r="T414" s="365"/>
      <c r="U414" s="365"/>
      <c r="V414" s="365"/>
      <c r="W414" s="365"/>
      <c r="X414" s="365"/>
      <c r="Y414" s="365"/>
      <c r="Z414" s="365"/>
      <c r="AA414" s="365"/>
      <c r="AB414" s="365"/>
      <c r="AC414" s="365"/>
      <c r="AD414" s="365"/>
    </row>
    <row r="415" spans="1:30" s="352" customFormat="1">
      <c r="A415" s="364"/>
      <c r="B415" s="364"/>
      <c r="C415" s="365"/>
      <c r="D415" s="365"/>
      <c r="E415" s="365"/>
      <c r="F415" s="365"/>
      <c r="G415" s="365"/>
      <c r="H415" s="365"/>
      <c r="I415" s="365"/>
      <c r="J415" s="365"/>
      <c r="K415" s="365"/>
      <c r="L415" s="365"/>
      <c r="M415" s="365"/>
      <c r="N415" s="365"/>
      <c r="O415" s="365"/>
      <c r="P415" s="365"/>
      <c r="Q415" s="365"/>
      <c r="R415" s="365"/>
      <c r="S415" s="365"/>
      <c r="T415" s="365"/>
      <c r="U415" s="365"/>
      <c r="V415" s="365"/>
      <c r="W415" s="365"/>
      <c r="X415" s="365"/>
      <c r="Y415" s="365"/>
      <c r="Z415" s="365"/>
      <c r="AA415" s="365"/>
      <c r="AB415" s="365"/>
      <c r="AC415" s="365"/>
      <c r="AD415" s="365"/>
    </row>
    <row r="416" spans="1:30" s="352" customFormat="1">
      <c r="A416" s="364"/>
      <c r="B416" s="364"/>
      <c r="C416" s="365"/>
      <c r="D416" s="365"/>
      <c r="E416" s="365"/>
      <c r="F416" s="365"/>
      <c r="G416" s="365"/>
      <c r="H416" s="365"/>
      <c r="I416" s="365"/>
      <c r="J416" s="365"/>
      <c r="K416" s="365"/>
      <c r="L416" s="365"/>
      <c r="M416" s="365"/>
      <c r="N416" s="365"/>
      <c r="O416" s="365"/>
      <c r="P416" s="365"/>
      <c r="Q416" s="365"/>
      <c r="R416" s="365"/>
      <c r="S416" s="365"/>
      <c r="T416" s="365"/>
      <c r="U416" s="365"/>
      <c r="V416" s="365"/>
      <c r="W416" s="365"/>
      <c r="X416" s="365"/>
      <c r="Y416" s="365"/>
      <c r="Z416" s="365"/>
      <c r="AA416" s="365"/>
      <c r="AB416" s="365"/>
      <c r="AC416" s="365"/>
      <c r="AD416" s="365"/>
    </row>
    <row r="417" spans="1:30" s="352" customFormat="1">
      <c r="A417" s="364"/>
      <c r="B417" s="364"/>
      <c r="C417" s="365"/>
      <c r="D417" s="365"/>
      <c r="E417" s="365"/>
      <c r="F417" s="365"/>
      <c r="G417" s="365"/>
      <c r="H417" s="365"/>
      <c r="I417" s="365"/>
      <c r="J417" s="365"/>
      <c r="K417" s="365"/>
      <c r="L417" s="365"/>
      <c r="M417" s="365"/>
      <c r="N417" s="365"/>
      <c r="O417" s="365"/>
      <c r="P417" s="365"/>
      <c r="Q417" s="365"/>
      <c r="R417" s="365"/>
      <c r="S417" s="365"/>
      <c r="T417" s="365"/>
      <c r="U417" s="365"/>
      <c r="V417" s="365"/>
      <c r="W417" s="365"/>
      <c r="X417" s="365"/>
      <c r="Y417" s="365"/>
      <c r="Z417" s="365"/>
      <c r="AA417" s="365"/>
      <c r="AB417" s="365"/>
      <c r="AC417" s="365"/>
      <c r="AD417" s="365"/>
    </row>
    <row r="418" spans="1:30" s="352" customFormat="1">
      <c r="A418" s="364"/>
      <c r="B418" s="364"/>
      <c r="C418" s="365"/>
      <c r="D418" s="365"/>
      <c r="E418" s="365"/>
      <c r="F418" s="365"/>
      <c r="G418" s="365"/>
      <c r="H418" s="365"/>
      <c r="I418" s="365"/>
      <c r="J418" s="365"/>
      <c r="K418" s="365"/>
      <c r="L418" s="365"/>
      <c r="M418" s="365"/>
      <c r="N418" s="365"/>
      <c r="O418" s="365"/>
      <c r="P418" s="365"/>
      <c r="Q418" s="365"/>
      <c r="R418" s="365"/>
      <c r="S418" s="365"/>
      <c r="T418" s="365"/>
      <c r="U418" s="365"/>
      <c r="V418" s="365"/>
      <c r="W418" s="365"/>
      <c r="X418" s="365"/>
      <c r="Y418" s="365"/>
      <c r="Z418" s="365"/>
      <c r="AA418" s="365"/>
      <c r="AB418" s="365"/>
      <c r="AC418" s="365"/>
      <c r="AD418" s="365"/>
    </row>
    <row r="419" spans="1:30" s="352" customFormat="1">
      <c r="A419" s="364"/>
      <c r="B419" s="364"/>
      <c r="C419" s="365"/>
      <c r="D419" s="365"/>
      <c r="E419" s="365"/>
      <c r="F419" s="365"/>
      <c r="G419" s="365"/>
      <c r="H419" s="365"/>
      <c r="I419" s="365"/>
      <c r="J419" s="365"/>
      <c r="K419" s="365"/>
      <c r="L419" s="365"/>
      <c r="M419" s="365"/>
      <c r="N419" s="365"/>
      <c r="O419" s="365"/>
      <c r="P419" s="365"/>
      <c r="Q419" s="365"/>
      <c r="R419" s="365"/>
      <c r="S419" s="365"/>
      <c r="T419" s="365"/>
      <c r="U419" s="365"/>
      <c r="V419" s="365"/>
      <c r="W419" s="365"/>
      <c r="X419" s="365"/>
      <c r="Y419" s="365"/>
      <c r="Z419" s="365"/>
      <c r="AA419" s="365"/>
      <c r="AB419" s="365"/>
      <c r="AC419" s="365"/>
      <c r="AD419" s="365"/>
    </row>
    <row r="420" spans="1:30" s="352" customFormat="1">
      <c r="A420" s="364"/>
      <c r="B420" s="364"/>
      <c r="C420" s="365"/>
      <c r="D420" s="365"/>
      <c r="E420" s="365"/>
      <c r="F420" s="365"/>
      <c r="G420" s="365"/>
      <c r="H420" s="365"/>
      <c r="I420" s="365"/>
      <c r="J420" s="365"/>
      <c r="K420" s="365"/>
      <c r="L420" s="365"/>
      <c r="M420" s="365"/>
      <c r="N420" s="365"/>
      <c r="O420" s="365"/>
      <c r="P420" s="365"/>
      <c r="Q420" s="365"/>
      <c r="R420" s="365"/>
      <c r="S420" s="365"/>
      <c r="T420" s="365"/>
      <c r="U420" s="365"/>
      <c r="V420" s="365"/>
      <c r="W420" s="365"/>
      <c r="X420" s="365"/>
      <c r="Y420" s="365"/>
      <c r="Z420" s="365"/>
      <c r="AA420" s="365"/>
      <c r="AB420" s="365"/>
      <c r="AC420" s="365"/>
      <c r="AD420" s="365"/>
    </row>
    <row r="421" spans="1:30" s="352" customFormat="1">
      <c r="A421" s="364"/>
      <c r="B421" s="364"/>
      <c r="C421" s="365"/>
      <c r="D421" s="365"/>
      <c r="E421" s="365"/>
      <c r="F421" s="365"/>
      <c r="G421" s="365"/>
      <c r="H421" s="365"/>
      <c r="I421" s="365"/>
      <c r="J421" s="365"/>
      <c r="K421" s="365"/>
      <c r="L421" s="365"/>
      <c r="M421" s="365"/>
      <c r="N421" s="365"/>
      <c r="O421" s="365"/>
      <c r="P421" s="365"/>
      <c r="Q421" s="365"/>
      <c r="R421" s="365"/>
      <c r="S421" s="365"/>
      <c r="T421" s="365"/>
      <c r="U421" s="365"/>
      <c r="V421" s="365"/>
      <c r="W421" s="365"/>
      <c r="X421" s="365"/>
      <c r="Y421" s="365"/>
      <c r="Z421" s="365"/>
      <c r="AA421" s="365"/>
      <c r="AB421" s="365"/>
      <c r="AC421" s="365"/>
      <c r="AD421" s="365"/>
    </row>
    <row r="422" spans="1:30" s="352" customFormat="1">
      <c r="A422" s="364"/>
      <c r="B422" s="364"/>
      <c r="C422" s="365"/>
      <c r="D422" s="365"/>
      <c r="E422" s="365"/>
      <c r="F422" s="365"/>
      <c r="G422" s="365"/>
      <c r="H422" s="365"/>
      <c r="I422" s="365"/>
      <c r="J422" s="365"/>
      <c r="K422" s="365"/>
      <c r="L422" s="365"/>
      <c r="M422" s="365"/>
      <c r="N422" s="365"/>
      <c r="O422" s="365"/>
      <c r="P422" s="365"/>
      <c r="Q422" s="365"/>
      <c r="R422" s="365"/>
      <c r="S422" s="365"/>
      <c r="T422" s="365"/>
      <c r="U422" s="365"/>
      <c r="V422" s="365"/>
      <c r="W422" s="365"/>
      <c r="X422" s="365"/>
      <c r="Y422" s="365"/>
      <c r="Z422" s="365"/>
      <c r="AA422" s="365"/>
      <c r="AB422" s="365"/>
      <c r="AC422" s="365"/>
      <c r="AD422" s="365"/>
    </row>
    <row r="423" spans="1:30" s="352" customFormat="1">
      <c r="A423" s="374"/>
      <c r="B423" s="374"/>
      <c r="C423" s="365"/>
      <c r="D423" s="365"/>
      <c r="E423" s="365"/>
      <c r="F423" s="365"/>
      <c r="G423" s="365"/>
      <c r="H423" s="365"/>
      <c r="I423" s="365"/>
      <c r="J423" s="365"/>
      <c r="K423" s="365"/>
      <c r="L423" s="365"/>
      <c r="M423" s="365"/>
      <c r="N423" s="365"/>
      <c r="O423" s="365"/>
      <c r="P423" s="365"/>
      <c r="Q423" s="365"/>
      <c r="R423" s="365"/>
      <c r="S423" s="365"/>
      <c r="T423" s="365"/>
      <c r="U423" s="365"/>
      <c r="V423" s="365"/>
      <c r="W423" s="365"/>
      <c r="X423" s="365"/>
      <c r="Y423" s="365"/>
      <c r="Z423" s="365"/>
      <c r="AA423" s="365"/>
      <c r="AB423" s="365"/>
      <c r="AC423" s="365"/>
      <c r="AD423" s="365"/>
    </row>
    <row r="424" spans="1:30" s="352" customFormat="1">
      <c r="A424" s="374"/>
      <c r="B424" s="374"/>
      <c r="C424" s="365"/>
      <c r="D424" s="365"/>
      <c r="E424" s="365"/>
      <c r="F424" s="365"/>
      <c r="G424" s="365"/>
      <c r="H424" s="365"/>
      <c r="I424" s="365"/>
      <c r="J424" s="365"/>
      <c r="K424" s="365"/>
      <c r="L424" s="365"/>
      <c r="M424" s="365"/>
      <c r="N424" s="365"/>
      <c r="O424" s="365"/>
      <c r="P424" s="365"/>
      <c r="Q424" s="365"/>
      <c r="R424" s="365"/>
      <c r="S424" s="365"/>
      <c r="T424" s="365"/>
      <c r="U424" s="365"/>
      <c r="V424" s="365"/>
      <c r="W424" s="365"/>
      <c r="X424" s="365"/>
      <c r="Y424" s="365"/>
      <c r="Z424" s="365"/>
      <c r="AA424" s="365"/>
      <c r="AB424" s="365"/>
      <c r="AC424" s="365"/>
      <c r="AD424" s="365"/>
    </row>
    <row r="425" spans="1:30" s="352" customFormat="1">
      <c r="A425" s="374"/>
      <c r="B425" s="374"/>
      <c r="C425" s="365"/>
      <c r="D425" s="365"/>
      <c r="E425" s="365"/>
      <c r="F425" s="365"/>
      <c r="G425" s="365"/>
      <c r="H425" s="365"/>
      <c r="I425" s="365"/>
      <c r="J425" s="365"/>
      <c r="K425" s="365"/>
      <c r="L425" s="365"/>
      <c r="M425" s="365"/>
      <c r="N425" s="365"/>
      <c r="O425" s="365"/>
      <c r="P425" s="365"/>
      <c r="Q425" s="365"/>
      <c r="R425" s="365"/>
      <c r="S425" s="365"/>
      <c r="T425" s="365"/>
      <c r="U425" s="365"/>
      <c r="V425" s="365"/>
      <c r="W425" s="365"/>
      <c r="X425" s="365"/>
      <c r="Y425" s="365"/>
      <c r="Z425" s="365"/>
      <c r="AA425" s="365"/>
      <c r="AB425" s="365"/>
      <c r="AC425" s="365"/>
      <c r="AD425" s="365"/>
    </row>
    <row r="426" spans="1:30" s="352" customFormat="1">
      <c r="A426" s="374"/>
      <c r="B426" s="374"/>
      <c r="C426" s="365"/>
      <c r="D426" s="365"/>
      <c r="E426" s="365"/>
      <c r="F426" s="365"/>
      <c r="G426" s="365"/>
      <c r="H426" s="365"/>
      <c r="I426" s="365"/>
      <c r="J426" s="365"/>
      <c r="K426" s="365"/>
      <c r="L426" s="365"/>
      <c r="M426" s="365"/>
      <c r="N426" s="365"/>
      <c r="O426" s="365"/>
      <c r="P426" s="365"/>
      <c r="Q426" s="365"/>
      <c r="R426" s="365"/>
      <c r="S426" s="365"/>
      <c r="T426" s="365"/>
      <c r="U426" s="365"/>
      <c r="V426" s="365"/>
      <c r="W426" s="365"/>
      <c r="X426" s="365"/>
      <c r="Y426" s="365"/>
      <c r="Z426" s="365"/>
      <c r="AA426" s="365"/>
      <c r="AB426" s="365"/>
      <c r="AC426" s="365"/>
      <c r="AD426" s="365"/>
    </row>
    <row r="427" spans="1:30" s="352" customFormat="1">
      <c r="A427" s="374"/>
      <c r="B427" s="374"/>
      <c r="C427" s="365"/>
      <c r="D427" s="365"/>
      <c r="E427" s="365"/>
      <c r="F427" s="365"/>
      <c r="G427" s="365"/>
      <c r="H427" s="365"/>
      <c r="I427" s="365"/>
      <c r="J427" s="365"/>
      <c r="K427" s="365"/>
      <c r="L427" s="365"/>
      <c r="M427" s="365"/>
      <c r="N427" s="365"/>
      <c r="O427" s="365"/>
      <c r="P427" s="365"/>
      <c r="Q427" s="365"/>
      <c r="R427" s="365"/>
      <c r="S427" s="365"/>
      <c r="T427" s="365"/>
      <c r="U427" s="365"/>
      <c r="V427" s="365"/>
      <c r="W427" s="365"/>
      <c r="X427" s="365"/>
      <c r="Y427" s="365"/>
      <c r="Z427" s="365"/>
      <c r="AA427" s="365"/>
      <c r="AB427" s="365"/>
      <c r="AC427" s="365"/>
      <c r="AD427" s="365"/>
    </row>
    <row r="428" spans="1:30" s="352" customFormat="1">
      <c r="A428" s="374"/>
      <c r="B428" s="374"/>
      <c r="C428" s="365"/>
      <c r="D428" s="365"/>
      <c r="E428" s="365"/>
      <c r="F428" s="365"/>
      <c r="G428" s="365"/>
      <c r="H428" s="365"/>
      <c r="I428" s="365"/>
      <c r="J428" s="365"/>
      <c r="K428" s="365"/>
      <c r="L428" s="365"/>
      <c r="M428" s="365"/>
      <c r="N428" s="365"/>
      <c r="O428" s="365"/>
      <c r="P428" s="365"/>
      <c r="Q428" s="365"/>
      <c r="R428" s="365"/>
      <c r="S428" s="365"/>
      <c r="T428" s="365"/>
      <c r="U428" s="365"/>
      <c r="V428" s="365"/>
      <c r="W428" s="365"/>
      <c r="X428" s="365"/>
      <c r="Y428" s="365"/>
      <c r="Z428" s="365"/>
      <c r="AA428" s="365"/>
      <c r="AB428" s="365"/>
      <c r="AC428" s="365"/>
      <c r="AD428" s="365"/>
    </row>
    <row r="429" spans="1:30" s="352" customFormat="1">
      <c r="A429" s="374"/>
      <c r="B429" s="374"/>
      <c r="C429" s="365"/>
      <c r="D429" s="365"/>
      <c r="E429" s="365"/>
      <c r="F429" s="365"/>
      <c r="G429" s="365"/>
      <c r="H429" s="365"/>
      <c r="I429" s="365"/>
      <c r="J429" s="365"/>
      <c r="K429" s="365"/>
      <c r="L429" s="365"/>
      <c r="M429" s="365"/>
      <c r="N429" s="365"/>
      <c r="O429" s="365"/>
      <c r="P429" s="365"/>
      <c r="Q429" s="365"/>
      <c r="R429" s="365"/>
      <c r="S429" s="365"/>
      <c r="T429" s="365"/>
      <c r="U429" s="365"/>
      <c r="V429" s="365"/>
      <c r="W429" s="365"/>
      <c r="X429" s="365"/>
      <c r="Y429" s="365"/>
      <c r="Z429" s="365"/>
      <c r="AA429" s="365"/>
      <c r="AB429" s="365"/>
      <c r="AC429" s="365"/>
      <c r="AD429" s="365"/>
    </row>
    <row r="430" spans="1:30" s="352" customFormat="1">
      <c r="A430" s="374"/>
      <c r="B430" s="374"/>
      <c r="C430" s="365"/>
      <c r="D430" s="365"/>
      <c r="E430" s="365"/>
      <c r="F430" s="365"/>
      <c r="G430" s="365"/>
      <c r="H430" s="365"/>
      <c r="I430" s="365"/>
      <c r="J430" s="365"/>
      <c r="K430" s="365"/>
      <c r="L430" s="365"/>
      <c r="M430" s="365"/>
      <c r="N430" s="365"/>
      <c r="O430" s="365"/>
      <c r="P430" s="365"/>
      <c r="Q430" s="365"/>
      <c r="R430" s="365"/>
      <c r="S430" s="365"/>
      <c r="T430" s="365"/>
      <c r="U430" s="365"/>
      <c r="V430" s="365"/>
      <c r="W430" s="365"/>
      <c r="X430" s="365"/>
      <c r="Y430" s="365"/>
      <c r="Z430" s="365"/>
      <c r="AA430" s="365"/>
      <c r="AB430" s="365"/>
      <c r="AC430" s="365"/>
      <c r="AD430" s="365"/>
    </row>
    <row r="431" spans="1:30" s="352" customFormat="1">
      <c r="A431" s="374"/>
      <c r="B431" s="374"/>
      <c r="C431" s="365"/>
      <c r="D431" s="365"/>
      <c r="E431" s="365"/>
      <c r="F431" s="365"/>
      <c r="G431" s="365"/>
      <c r="H431" s="365"/>
      <c r="I431" s="365"/>
      <c r="J431" s="365"/>
      <c r="K431" s="365"/>
      <c r="L431" s="365"/>
      <c r="M431" s="365"/>
      <c r="N431" s="365"/>
      <c r="O431" s="365"/>
      <c r="P431" s="365"/>
      <c r="Q431" s="365"/>
      <c r="R431" s="365"/>
      <c r="S431" s="365"/>
      <c r="T431" s="365"/>
      <c r="U431" s="365"/>
      <c r="V431" s="365"/>
      <c r="W431" s="365"/>
      <c r="X431" s="365"/>
      <c r="Y431" s="365"/>
      <c r="Z431" s="365"/>
      <c r="AA431" s="365"/>
      <c r="AB431" s="365"/>
      <c r="AC431" s="365"/>
      <c r="AD431" s="365"/>
    </row>
    <row r="432" spans="1:30" s="352" customFormat="1">
      <c r="A432" s="374"/>
      <c r="B432" s="374"/>
      <c r="C432" s="365"/>
      <c r="D432" s="365"/>
      <c r="E432" s="365"/>
      <c r="F432" s="365"/>
      <c r="G432" s="365"/>
      <c r="H432" s="365"/>
      <c r="I432" s="365"/>
      <c r="J432" s="365"/>
      <c r="K432" s="365"/>
      <c r="L432" s="365"/>
      <c r="M432" s="365"/>
      <c r="N432" s="365"/>
      <c r="O432" s="365"/>
      <c r="P432" s="365"/>
      <c r="Q432" s="365"/>
      <c r="R432" s="365"/>
      <c r="S432" s="365"/>
      <c r="T432" s="365"/>
      <c r="U432" s="365"/>
      <c r="V432" s="365"/>
      <c r="W432" s="365"/>
      <c r="X432" s="365"/>
      <c r="Y432" s="365"/>
      <c r="Z432" s="365"/>
      <c r="AA432" s="365"/>
      <c r="AB432" s="365"/>
      <c r="AC432" s="365"/>
      <c r="AD432" s="365"/>
    </row>
    <row r="433" spans="1:30" s="352" customFormat="1">
      <c r="A433" s="374"/>
      <c r="B433" s="374"/>
      <c r="C433" s="365"/>
      <c r="D433" s="365"/>
      <c r="E433" s="365"/>
      <c r="F433" s="365"/>
      <c r="G433" s="365"/>
      <c r="H433" s="365"/>
      <c r="I433" s="365"/>
      <c r="J433" s="365"/>
      <c r="K433" s="365"/>
      <c r="L433" s="365"/>
      <c r="M433" s="365"/>
      <c r="N433" s="365"/>
      <c r="O433" s="365"/>
      <c r="P433" s="365"/>
      <c r="Q433" s="365"/>
      <c r="R433" s="365"/>
      <c r="S433" s="365"/>
      <c r="T433" s="365"/>
      <c r="U433" s="365"/>
      <c r="V433" s="365"/>
      <c r="W433" s="365"/>
      <c r="X433" s="365"/>
      <c r="Y433" s="365"/>
      <c r="Z433" s="365"/>
      <c r="AA433" s="365"/>
      <c r="AB433" s="365"/>
      <c r="AC433" s="365"/>
      <c r="AD433" s="365"/>
    </row>
    <row r="434" spans="1:30" s="352" customFormat="1">
      <c r="A434" s="374"/>
      <c r="B434" s="374"/>
      <c r="C434" s="365"/>
      <c r="D434" s="365"/>
      <c r="E434" s="365"/>
      <c r="F434" s="365"/>
      <c r="G434" s="365"/>
      <c r="H434" s="365"/>
      <c r="I434" s="365"/>
      <c r="J434" s="365"/>
      <c r="K434" s="365"/>
      <c r="L434" s="365"/>
      <c r="M434" s="365"/>
      <c r="N434" s="365"/>
      <c r="O434" s="365"/>
      <c r="P434" s="365"/>
      <c r="Q434" s="365"/>
      <c r="R434" s="365"/>
      <c r="S434" s="365"/>
      <c r="T434" s="365"/>
      <c r="U434" s="365"/>
      <c r="V434" s="365"/>
      <c r="W434" s="365"/>
      <c r="X434" s="365"/>
      <c r="Y434" s="365"/>
      <c r="Z434" s="365"/>
      <c r="AA434" s="365"/>
      <c r="AB434" s="365"/>
      <c r="AC434" s="365"/>
      <c r="AD434" s="365"/>
    </row>
    <row r="435" spans="1:30" s="352" customFormat="1">
      <c r="A435" s="374"/>
      <c r="B435" s="374"/>
      <c r="C435" s="365"/>
      <c r="D435" s="365"/>
      <c r="E435" s="365"/>
      <c r="F435" s="365"/>
      <c r="G435" s="365"/>
      <c r="H435" s="365"/>
      <c r="I435" s="365"/>
      <c r="J435" s="365"/>
      <c r="K435" s="365"/>
      <c r="L435" s="365"/>
      <c r="M435" s="365"/>
      <c r="N435" s="365"/>
      <c r="O435" s="365"/>
      <c r="P435" s="365"/>
      <c r="Q435" s="365"/>
      <c r="R435" s="365"/>
      <c r="S435" s="365"/>
      <c r="T435" s="365"/>
      <c r="U435" s="365"/>
      <c r="V435" s="365"/>
      <c r="W435" s="365"/>
      <c r="X435" s="365"/>
      <c r="Y435" s="365"/>
      <c r="Z435" s="365"/>
      <c r="AA435" s="365"/>
      <c r="AB435" s="365"/>
      <c r="AC435" s="365"/>
      <c r="AD435" s="365"/>
    </row>
    <row r="436" spans="1:30" s="352" customFormat="1">
      <c r="C436" s="365"/>
      <c r="D436" s="365"/>
      <c r="E436" s="365"/>
      <c r="F436" s="365"/>
      <c r="G436" s="365"/>
      <c r="H436" s="365"/>
      <c r="I436" s="365"/>
      <c r="J436" s="365"/>
      <c r="K436" s="365"/>
      <c r="L436" s="365"/>
      <c r="M436" s="365"/>
      <c r="N436" s="365"/>
      <c r="O436" s="365"/>
      <c r="P436" s="365"/>
      <c r="Q436" s="365"/>
      <c r="R436" s="365"/>
      <c r="S436" s="365"/>
      <c r="T436" s="365"/>
      <c r="U436" s="365"/>
      <c r="V436" s="365"/>
      <c r="W436" s="365"/>
      <c r="X436" s="365"/>
      <c r="Y436" s="365"/>
      <c r="Z436" s="365"/>
      <c r="AA436" s="365"/>
      <c r="AB436" s="365"/>
      <c r="AC436" s="365"/>
      <c r="AD436" s="365"/>
    </row>
    <row r="437" spans="1:30" s="352" customFormat="1">
      <c r="C437" s="365"/>
      <c r="D437" s="365"/>
      <c r="E437" s="365"/>
      <c r="F437" s="365"/>
      <c r="G437" s="365"/>
      <c r="H437" s="365"/>
      <c r="I437" s="365"/>
      <c r="J437" s="365"/>
      <c r="K437" s="365"/>
      <c r="L437" s="365"/>
      <c r="M437" s="365"/>
      <c r="N437" s="365"/>
      <c r="O437" s="365"/>
      <c r="P437" s="365"/>
      <c r="Q437" s="365"/>
      <c r="R437" s="365"/>
      <c r="S437" s="365"/>
      <c r="T437" s="365"/>
      <c r="U437" s="365"/>
      <c r="V437" s="365"/>
      <c r="W437" s="365"/>
      <c r="X437" s="365"/>
      <c r="Y437" s="365"/>
      <c r="Z437" s="365"/>
      <c r="AA437" s="365"/>
      <c r="AB437" s="365"/>
      <c r="AC437" s="365"/>
      <c r="AD437" s="365"/>
    </row>
    <row r="438" spans="1:30" s="352" customFormat="1">
      <c r="C438" s="365"/>
      <c r="D438" s="365"/>
      <c r="E438" s="365"/>
      <c r="F438" s="365"/>
      <c r="G438" s="365"/>
      <c r="H438" s="365"/>
      <c r="I438" s="365"/>
      <c r="J438" s="365"/>
      <c r="K438" s="365"/>
      <c r="L438" s="365"/>
      <c r="M438" s="365"/>
      <c r="N438" s="365"/>
      <c r="O438" s="365"/>
      <c r="P438" s="365"/>
      <c r="Q438" s="365"/>
      <c r="R438" s="365"/>
      <c r="S438" s="365"/>
      <c r="T438" s="365"/>
      <c r="U438" s="365"/>
      <c r="V438" s="365"/>
      <c r="W438" s="365"/>
      <c r="X438" s="365"/>
      <c r="Y438" s="365"/>
      <c r="Z438" s="365"/>
      <c r="AA438" s="365"/>
      <c r="AB438" s="365"/>
      <c r="AC438" s="365"/>
      <c r="AD438" s="365"/>
    </row>
    <row r="439" spans="1:30" s="352" customFormat="1">
      <c r="C439" s="365"/>
      <c r="D439" s="365"/>
      <c r="E439" s="365"/>
      <c r="F439" s="365"/>
      <c r="G439" s="365"/>
      <c r="H439" s="365"/>
      <c r="I439" s="365"/>
      <c r="J439" s="365"/>
      <c r="K439" s="365"/>
      <c r="L439" s="365"/>
      <c r="M439" s="365"/>
      <c r="N439" s="365"/>
      <c r="O439" s="365"/>
      <c r="P439" s="365"/>
      <c r="Q439" s="365"/>
      <c r="R439" s="365"/>
      <c r="S439" s="365"/>
      <c r="T439" s="365"/>
      <c r="U439" s="365"/>
      <c r="V439" s="365"/>
      <c r="W439" s="365"/>
      <c r="X439" s="365"/>
      <c r="Y439" s="365"/>
      <c r="Z439" s="365"/>
      <c r="AA439" s="365"/>
      <c r="AB439" s="365"/>
      <c r="AC439" s="365"/>
      <c r="AD439" s="365"/>
    </row>
    <row r="440" spans="1:30" s="352" customFormat="1">
      <c r="C440" s="365"/>
      <c r="D440" s="365"/>
      <c r="E440" s="365"/>
      <c r="F440" s="365"/>
      <c r="G440" s="365"/>
      <c r="H440" s="365"/>
      <c r="I440" s="365"/>
      <c r="J440" s="365"/>
      <c r="K440" s="365"/>
      <c r="L440" s="365"/>
      <c r="M440" s="365"/>
      <c r="N440" s="365"/>
      <c r="O440" s="365"/>
      <c r="P440" s="365"/>
      <c r="Q440" s="365"/>
      <c r="R440" s="365"/>
      <c r="S440" s="365"/>
      <c r="T440" s="365"/>
      <c r="U440" s="365"/>
      <c r="V440" s="365"/>
      <c r="W440" s="365"/>
      <c r="X440" s="365"/>
      <c r="Y440" s="365"/>
      <c r="Z440" s="365"/>
      <c r="AA440" s="365"/>
      <c r="AB440" s="365"/>
      <c r="AC440" s="365"/>
      <c r="AD440" s="365"/>
    </row>
    <row r="441" spans="1:30" s="352" customFormat="1">
      <c r="C441" s="365"/>
      <c r="D441" s="365"/>
      <c r="E441" s="365"/>
      <c r="F441" s="365"/>
      <c r="G441" s="365"/>
      <c r="H441" s="365"/>
      <c r="I441" s="365"/>
      <c r="J441" s="365"/>
      <c r="K441" s="365"/>
      <c r="L441" s="365"/>
      <c r="M441" s="365"/>
      <c r="N441" s="365"/>
      <c r="O441" s="365"/>
      <c r="P441" s="365"/>
      <c r="Q441" s="365"/>
      <c r="R441" s="365"/>
      <c r="S441" s="365"/>
      <c r="T441" s="365"/>
      <c r="U441" s="365"/>
      <c r="V441" s="365"/>
      <c r="W441" s="365"/>
      <c r="X441" s="365"/>
      <c r="Y441" s="365"/>
      <c r="Z441" s="365"/>
      <c r="AA441" s="365"/>
      <c r="AB441" s="365"/>
      <c r="AC441" s="365"/>
      <c r="AD441" s="365"/>
    </row>
    <row r="442" spans="1:30" s="352" customFormat="1">
      <c r="C442" s="365"/>
      <c r="D442" s="365"/>
      <c r="E442" s="365"/>
      <c r="F442" s="365"/>
      <c r="G442" s="365"/>
      <c r="H442" s="365"/>
      <c r="I442" s="365"/>
      <c r="J442" s="365"/>
      <c r="K442" s="365"/>
      <c r="L442" s="365"/>
      <c r="M442" s="365"/>
      <c r="N442" s="365"/>
      <c r="O442" s="365"/>
      <c r="P442" s="365"/>
      <c r="Q442" s="365"/>
      <c r="R442" s="365"/>
      <c r="S442" s="365"/>
      <c r="T442" s="365"/>
      <c r="U442" s="365"/>
      <c r="V442" s="365"/>
      <c r="W442" s="365"/>
      <c r="X442" s="365"/>
      <c r="Y442" s="365"/>
      <c r="Z442" s="365"/>
      <c r="AA442" s="365"/>
      <c r="AB442" s="365"/>
      <c r="AC442" s="365"/>
      <c r="AD442" s="365"/>
    </row>
    <row r="443" spans="1:30" s="352" customFormat="1">
      <c r="C443" s="365"/>
      <c r="D443" s="365"/>
      <c r="E443" s="365"/>
      <c r="F443" s="365"/>
      <c r="G443" s="365"/>
      <c r="H443" s="365"/>
      <c r="I443" s="365"/>
      <c r="J443" s="365"/>
      <c r="K443" s="365"/>
      <c r="L443" s="365"/>
      <c r="M443" s="365"/>
      <c r="N443" s="365"/>
      <c r="O443" s="365"/>
      <c r="P443" s="365"/>
      <c r="Q443" s="365"/>
      <c r="R443" s="365"/>
      <c r="S443" s="365"/>
      <c r="T443" s="365"/>
      <c r="U443" s="365"/>
      <c r="V443" s="365"/>
      <c r="W443" s="365"/>
      <c r="X443" s="365"/>
      <c r="Y443" s="365"/>
      <c r="Z443" s="365"/>
      <c r="AA443" s="365"/>
      <c r="AB443" s="365"/>
      <c r="AC443" s="365"/>
      <c r="AD443" s="365"/>
    </row>
    <row r="444" spans="1:30" s="352" customFormat="1">
      <c r="C444" s="365"/>
      <c r="D444" s="365"/>
      <c r="E444" s="365"/>
      <c r="F444" s="365"/>
      <c r="G444" s="365"/>
      <c r="H444" s="365"/>
      <c r="I444" s="365"/>
      <c r="J444" s="365"/>
      <c r="K444" s="365"/>
      <c r="L444" s="365"/>
      <c r="M444" s="365"/>
      <c r="N444" s="365"/>
      <c r="O444" s="365"/>
      <c r="P444" s="365"/>
      <c r="Q444" s="365"/>
      <c r="R444" s="365"/>
      <c r="S444" s="365"/>
      <c r="T444" s="365"/>
      <c r="U444" s="365"/>
      <c r="V444" s="365"/>
      <c r="W444" s="365"/>
      <c r="X444" s="365"/>
      <c r="Y444" s="365"/>
      <c r="Z444" s="365"/>
      <c r="AA444" s="365"/>
      <c r="AB444" s="365"/>
      <c r="AC444" s="365"/>
      <c r="AD444" s="365"/>
    </row>
    <row r="445" spans="1:30" s="352" customFormat="1">
      <c r="C445" s="365"/>
      <c r="D445" s="365"/>
      <c r="E445" s="365"/>
      <c r="F445" s="365"/>
      <c r="G445" s="365"/>
      <c r="H445" s="365"/>
      <c r="I445" s="365"/>
      <c r="J445" s="365"/>
      <c r="K445" s="365"/>
      <c r="L445" s="365"/>
      <c r="M445" s="365"/>
      <c r="N445" s="365"/>
      <c r="O445" s="365"/>
      <c r="P445" s="365"/>
      <c r="Q445" s="365"/>
      <c r="R445" s="365"/>
      <c r="S445" s="365"/>
      <c r="T445" s="365"/>
      <c r="U445" s="365"/>
      <c r="V445" s="365"/>
      <c r="W445" s="365"/>
      <c r="X445" s="365"/>
      <c r="Y445" s="365"/>
      <c r="Z445" s="365"/>
      <c r="AA445" s="365"/>
      <c r="AB445" s="365"/>
      <c r="AC445" s="365"/>
      <c r="AD445" s="365"/>
    </row>
    <row r="446" spans="1:30" s="352" customFormat="1">
      <c r="C446" s="365"/>
      <c r="D446" s="365"/>
      <c r="E446" s="365"/>
      <c r="F446" s="365"/>
      <c r="G446" s="365"/>
      <c r="H446" s="365"/>
      <c r="I446" s="365"/>
      <c r="J446" s="365"/>
      <c r="K446" s="365"/>
      <c r="L446" s="365"/>
      <c r="M446" s="365"/>
      <c r="N446" s="365"/>
      <c r="O446" s="365"/>
      <c r="P446" s="365"/>
      <c r="Q446" s="365"/>
      <c r="R446" s="365"/>
      <c r="S446" s="365"/>
      <c r="T446" s="365"/>
      <c r="U446" s="365"/>
      <c r="V446" s="365"/>
      <c r="W446" s="365"/>
      <c r="X446" s="365"/>
      <c r="Y446" s="365"/>
      <c r="Z446" s="365"/>
      <c r="AA446" s="365"/>
      <c r="AB446" s="365"/>
      <c r="AC446" s="365"/>
      <c r="AD446" s="365"/>
    </row>
    <row r="447" spans="1:30" s="352" customFormat="1">
      <c r="C447" s="365"/>
      <c r="D447" s="365"/>
      <c r="E447" s="365"/>
      <c r="F447" s="365"/>
      <c r="G447" s="365"/>
      <c r="H447" s="365"/>
      <c r="I447" s="365"/>
      <c r="J447" s="365"/>
      <c r="K447" s="365"/>
      <c r="L447" s="365"/>
      <c r="M447" s="365"/>
      <c r="N447" s="365"/>
      <c r="O447" s="365"/>
      <c r="P447" s="365"/>
      <c r="Q447" s="365"/>
      <c r="R447" s="365"/>
      <c r="S447" s="365"/>
      <c r="T447" s="365"/>
      <c r="U447" s="365"/>
      <c r="V447" s="365"/>
      <c r="W447" s="365"/>
      <c r="X447" s="365"/>
      <c r="Y447" s="365"/>
      <c r="Z447" s="365"/>
      <c r="AA447" s="365"/>
      <c r="AB447" s="365"/>
      <c r="AC447" s="365"/>
      <c r="AD447" s="365"/>
    </row>
    <row r="448" spans="1:30" s="352" customFormat="1">
      <c r="C448" s="365"/>
      <c r="D448" s="365"/>
      <c r="E448" s="365"/>
      <c r="F448" s="365"/>
      <c r="G448" s="365"/>
      <c r="H448" s="365"/>
      <c r="I448" s="365"/>
      <c r="J448" s="365"/>
      <c r="K448" s="365"/>
      <c r="L448" s="365"/>
      <c r="M448" s="365"/>
      <c r="N448" s="365"/>
      <c r="O448" s="365"/>
      <c r="P448" s="365"/>
      <c r="Q448" s="365"/>
      <c r="R448" s="365"/>
      <c r="S448" s="365"/>
      <c r="T448" s="365"/>
      <c r="U448" s="365"/>
      <c r="V448" s="365"/>
      <c r="W448" s="365"/>
      <c r="X448" s="365"/>
      <c r="Y448" s="365"/>
      <c r="Z448" s="365"/>
      <c r="AA448" s="365"/>
      <c r="AB448" s="365"/>
      <c r="AC448" s="365"/>
      <c r="AD448" s="365"/>
    </row>
    <row r="449" spans="3:30" s="352" customFormat="1">
      <c r="C449" s="365"/>
      <c r="D449" s="365"/>
      <c r="E449" s="365"/>
      <c r="F449" s="365"/>
      <c r="G449" s="365"/>
      <c r="H449" s="365"/>
      <c r="I449" s="365"/>
      <c r="J449" s="365"/>
      <c r="K449" s="365"/>
      <c r="L449" s="365"/>
      <c r="M449" s="365"/>
      <c r="N449" s="365"/>
      <c r="O449" s="365"/>
      <c r="P449" s="365"/>
      <c r="Q449" s="365"/>
      <c r="R449" s="365"/>
      <c r="S449" s="365"/>
      <c r="T449" s="365"/>
      <c r="U449" s="365"/>
      <c r="V449" s="365"/>
      <c r="W449" s="365"/>
      <c r="X449" s="365"/>
      <c r="Y449" s="365"/>
      <c r="Z449" s="365"/>
      <c r="AA449" s="365"/>
      <c r="AB449" s="365"/>
      <c r="AC449" s="365"/>
      <c r="AD449" s="365"/>
    </row>
    <row r="450" spans="3:30" s="352" customFormat="1">
      <c r="C450" s="365"/>
      <c r="D450" s="365"/>
      <c r="E450" s="365"/>
      <c r="F450" s="365"/>
      <c r="G450" s="365"/>
      <c r="H450" s="365"/>
      <c r="I450" s="365"/>
      <c r="J450" s="365"/>
      <c r="K450" s="365"/>
      <c r="L450" s="365"/>
      <c r="M450" s="365"/>
      <c r="N450" s="365"/>
      <c r="O450" s="365"/>
      <c r="P450" s="365"/>
      <c r="Q450" s="365"/>
      <c r="R450" s="365"/>
      <c r="S450" s="365"/>
      <c r="T450" s="365"/>
      <c r="U450" s="365"/>
      <c r="V450" s="365"/>
      <c r="W450" s="365"/>
      <c r="X450" s="365"/>
      <c r="Y450" s="365"/>
      <c r="Z450" s="365"/>
      <c r="AA450" s="365"/>
      <c r="AB450" s="365"/>
      <c r="AC450" s="365"/>
      <c r="AD450" s="365"/>
    </row>
    <row r="451" spans="3:30" s="352" customFormat="1">
      <c r="C451" s="365"/>
      <c r="D451" s="365"/>
      <c r="E451" s="365"/>
      <c r="F451" s="365"/>
      <c r="G451" s="365"/>
      <c r="H451" s="365"/>
      <c r="I451" s="365"/>
      <c r="J451" s="365"/>
      <c r="K451" s="365"/>
      <c r="L451" s="365"/>
      <c r="M451" s="365"/>
      <c r="N451" s="365"/>
      <c r="O451" s="365"/>
      <c r="P451" s="365"/>
      <c r="Q451" s="365"/>
      <c r="R451" s="365"/>
      <c r="S451" s="365"/>
      <c r="T451" s="365"/>
      <c r="U451" s="365"/>
      <c r="V451" s="365"/>
      <c r="W451" s="365"/>
      <c r="X451" s="365"/>
      <c r="Y451" s="365"/>
      <c r="Z451" s="365"/>
      <c r="AA451" s="365"/>
      <c r="AB451" s="365"/>
      <c r="AC451" s="365"/>
      <c r="AD451" s="365"/>
    </row>
    <row r="452" spans="3:30" s="352" customFormat="1">
      <c r="C452" s="365"/>
      <c r="D452" s="365"/>
      <c r="E452" s="365"/>
      <c r="F452" s="365"/>
      <c r="G452" s="365"/>
      <c r="H452" s="365"/>
      <c r="I452" s="365"/>
      <c r="J452" s="365"/>
      <c r="K452" s="365"/>
      <c r="L452" s="365"/>
      <c r="M452" s="365"/>
      <c r="N452" s="365"/>
      <c r="O452" s="365"/>
      <c r="P452" s="365"/>
      <c r="Q452" s="365"/>
      <c r="R452" s="365"/>
      <c r="S452" s="365"/>
      <c r="T452" s="365"/>
      <c r="U452" s="365"/>
      <c r="V452" s="365"/>
      <c r="W452" s="365"/>
      <c r="X452" s="365"/>
      <c r="Y452" s="365"/>
      <c r="Z452" s="365"/>
      <c r="AA452" s="365"/>
      <c r="AB452" s="365"/>
      <c r="AC452" s="365"/>
      <c r="AD452" s="365"/>
    </row>
    <row r="453" spans="3:30" s="352" customFormat="1">
      <c r="C453" s="365"/>
      <c r="D453" s="365"/>
      <c r="E453" s="365"/>
      <c r="F453" s="365"/>
      <c r="G453" s="365"/>
      <c r="H453" s="365"/>
      <c r="I453" s="365"/>
      <c r="J453" s="365"/>
      <c r="K453" s="365"/>
      <c r="L453" s="365"/>
      <c r="M453" s="365"/>
      <c r="N453" s="365"/>
      <c r="O453" s="365"/>
      <c r="P453" s="365"/>
      <c r="Q453" s="365"/>
      <c r="R453" s="365"/>
      <c r="S453" s="365"/>
      <c r="T453" s="365"/>
      <c r="U453" s="365"/>
      <c r="V453" s="365"/>
      <c r="W453" s="365"/>
      <c r="X453" s="365"/>
      <c r="Y453" s="365"/>
      <c r="Z453" s="365"/>
      <c r="AA453" s="365"/>
      <c r="AB453" s="365"/>
      <c r="AC453" s="365"/>
      <c r="AD453" s="365"/>
    </row>
    <row r="454" spans="3:30" s="352" customFormat="1">
      <c r="C454" s="365"/>
      <c r="D454" s="365"/>
      <c r="E454" s="365"/>
      <c r="F454" s="365"/>
      <c r="G454" s="365"/>
      <c r="H454" s="365"/>
      <c r="I454" s="365"/>
      <c r="J454" s="365"/>
      <c r="K454" s="365"/>
      <c r="L454" s="365"/>
      <c r="M454" s="365"/>
      <c r="N454" s="365"/>
      <c r="O454" s="365"/>
      <c r="P454" s="365"/>
      <c r="Q454" s="365"/>
      <c r="R454" s="365"/>
      <c r="S454" s="365"/>
      <c r="T454" s="365"/>
      <c r="U454" s="365"/>
      <c r="V454" s="365"/>
      <c r="W454" s="365"/>
      <c r="X454" s="365"/>
      <c r="Y454" s="365"/>
      <c r="Z454" s="365"/>
      <c r="AA454" s="365"/>
      <c r="AB454" s="365"/>
      <c r="AC454" s="365"/>
      <c r="AD454" s="365"/>
    </row>
    <row r="455" spans="3:30" s="352" customFormat="1">
      <c r="C455" s="365"/>
      <c r="D455" s="365"/>
      <c r="E455" s="365"/>
      <c r="F455" s="365"/>
      <c r="G455" s="365"/>
      <c r="H455" s="365"/>
      <c r="I455" s="365"/>
      <c r="J455" s="365"/>
      <c r="K455" s="365"/>
      <c r="L455" s="365"/>
      <c r="M455" s="365"/>
      <c r="N455" s="365"/>
      <c r="O455" s="365"/>
      <c r="P455" s="365"/>
      <c r="Q455" s="365"/>
      <c r="R455" s="365"/>
      <c r="S455" s="365"/>
      <c r="T455" s="365"/>
      <c r="U455" s="365"/>
      <c r="V455" s="365"/>
      <c r="W455" s="365"/>
      <c r="X455" s="365"/>
      <c r="Y455" s="365"/>
      <c r="Z455" s="365"/>
      <c r="AA455" s="365"/>
      <c r="AB455" s="365"/>
      <c r="AC455" s="365"/>
      <c r="AD455" s="365"/>
    </row>
    <row r="456" spans="3:30" s="352" customFormat="1">
      <c r="C456" s="365"/>
      <c r="D456" s="365"/>
      <c r="E456" s="365"/>
      <c r="F456" s="365"/>
      <c r="G456" s="365"/>
      <c r="H456" s="365"/>
      <c r="I456" s="365"/>
      <c r="J456" s="365"/>
      <c r="K456" s="365"/>
      <c r="L456" s="365"/>
      <c r="M456" s="365"/>
      <c r="N456" s="365"/>
      <c r="O456" s="365"/>
      <c r="P456" s="365"/>
      <c r="Q456" s="365"/>
      <c r="R456" s="365"/>
      <c r="S456" s="365"/>
      <c r="T456" s="365"/>
      <c r="U456" s="365"/>
      <c r="V456" s="365"/>
      <c r="W456" s="365"/>
      <c r="X456" s="365"/>
      <c r="Y456" s="365"/>
      <c r="Z456" s="365"/>
      <c r="AA456" s="365"/>
      <c r="AB456" s="365"/>
      <c r="AC456" s="365"/>
      <c r="AD456" s="365"/>
    </row>
    <row r="457" spans="3:30" s="352" customFormat="1">
      <c r="C457" s="365"/>
      <c r="D457" s="365"/>
      <c r="E457" s="365"/>
      <c r="F457" s="365"/>
      <c r="G457" s="365"/>
      <c r="H457" s="365"/>
      <c r="I457" s="365"/>
      <c r="J457" s="365"/>
      <c r="K457" s="365"/>
      <c r="L457" s="365"/>
      <c r="M457" s="365"/>
      <c r="N457" s="365"/>
      <c r="O457" s="365"/>
      <c r="P457" s="365"/>
      <c r="Q457" s="365"/>
      <c r="R457" s="365"/>
      <c r="S457" s="365"/>
      <c r="T457" s="365"/>
      <c r="U457" s="365"/>
      <c r="V457" s="365"/>
      <c r="W457" s="365"/>
      <c r="X457" s="365"/>
      <c r="Y457" s="365"/>
      <c r="Z457" s="365"/>
      <c r="AA457" s="365"/>
      <c r="AB457" s="365"/>
      <c r="AC457" s="365"/>
      <c r="AD457" s="365"/>
    </row>
    <row r="458" spans="3:30" s="352" customFormat="1">
      <c r="C458" s="365"/>
      <c r="D458" s="365"/>
      <c r="E458" s="365"/>
      <c r="F458" s="365"/>
      <c r="G458" s="365"/>
      <c r="H458" s="365"/>
      <c r="I458" s="365"/>
      <c r="J458" s="365"/>
      <c r="K458" s="365"/>
      <c r="L458" s="365"/>
      <c r="M458" s="365"/>
      <c r="N458" s="365"/>
      <c r="O458" s="365"/>
      <c r="P458" s="365"/>
      <c r="Q458" s="365"/>
      <c r="R458" s="365"/>
      <c r="S458" s="365"/>
      <c r="T458" s="365"/>
      <c r="U458" s="365"/>
      <c r="V458" s="365"/>
      <c r="W458" s="365"/>
      <c r="X458" s="365"/>
      <c r="Y458" s="365"/>
      <c r="Z458" s="365"/>
      <c r="AA458" s="365"/>
      <c r="AB458" s="365"/>
      <c r="AC458" s="365"/>
      <c r="AD458" s="365"/>
    </row>
    <row r="459" spans="3:30" s="352" customFormat="1">
      <c r="C459" s="365"/>
      <c r="D459" s="365"/>
      <c r="E459" s="365"/>
      <c r="F459" s="365"/>
      <c r="G459" s="365"/>
      <c r="H459" s="365"/>
      <c r="I459" s="365"/>
      <c r="J459" s="365"/>
      <c r="K459" s="365"/>
      <c r="L459" s="365"/>
      <c r="M459" s="365"/>
      <c r="N459" s="365"/>
      <c r="O459" s="365"/>
      <c r="P459" s="365"/>
      <c r="Q459" s="365"/>
      <c r="R459" s="365"/>
      <c r="S459" s="365"/>
      <c r="T459" s="365"/>
      <c r="U459" s="365"/>
      <c r="V459" s="365"/>
      <c r="W459" s="365"/>
      <c r="X459" s="365"/>
      <c r="Y459" s="365"/>
      <c r="Z459" s="365"/>
      <c r="AA459" s="365"/>
      <c r="AB459" s="365"/>
      <c r="AC459" s="365"/>
      <c r="AD459" s="365"/>
    </row>
    <row r="460" spans="3:30" s="352" customFormat="1">
      <c r="C460" s="365"/>
      <c r="D460" s="365"/>
      <c r="E460" s="365"/>
      <c r="F460" s="365"/>
      <c r="G460" s="365"/>
      <c r="H460" s="365"/>
      <c r="I460" s="365"/>
      <c r="J460" s="365"/>
      <c r="K460" s="365"/>
      <c r="L460" s="365"/>
      <c r="M460" s="365"/>
      <c r="N460" s="365"/>
      <c r="O460" s="365"/>
      <c r="P460" s="365"/>
      <c r="Q460" s="365"/>
      <c r="R460" s="365"/>
      <c r="S460" s="365"/>
      <c r="T460" s="365"/>
      <c r="U460" s="365"/>
      <c r="V460" s="365"/>
      <c r="W460" s="365"/>
      <c r="X460" s="365"/>
      <c r="Y460" s="365"/>
      <c r="Z460" s="365"/>
      <c r="AA460" s="365"/>
      <c r="AB460" s="365"/>
      <c r="AC460" s="365"/>
      <c r="AD460" s="365"/>
    </row>
    <row r="461" spans="3:30" s="352" customFormat="1">
      <c r="C461" s="365"/>
      <c r="D461" s="365"/>
      <c r="E461" s="365"/>
      <c r="F461" s="365"/>
      <c r="G461" s="365"/>
      <c r="H461" s="365"/>
      <c r="I461" s="365"/>
      <c r="J461" s="365"/>
      <c r="K461" s="365"/>
      <c r="L461" s="365"/>
      <c r="M461" s="365"/>
      <c r="N461" s="365"/>
      <c r="O461" s="365"/>
      <c r="P461" s="365"/>
      <c r="Q461" s="365"/>
      <c r="R461" s="365"/>
      <c r="S461" s="365"/>
      <c r="T461" s="365"/>
      <c r="U461" s="365"/>
      <c r="V461" s="365"/>
      <c r="W461" s="365"/>
      <c r="X461" s="365"/>
      <c r="Y461" s="365"/>
      <c r="Z461" s="365"/>
      <c r="AA461" s="365"/>
      <c r="AB461" s="365"/>
      <c r="AC461" s="365"/>
      <c r="AD461" s="365"/>
    </row>
    <row r="462" spans="3:30" s="352" customFormat="1">
      <c r="C462" s="365"/>
      <c r="D462" s="365"/>
      <c r="E462" s="365"/>
      <c r="F462" s="365"/>
      <c r="G462" s="365"/>
      <c r="H462" s="365"/>
      <c r="I462" s="365"/>
      <c r="J462" s="365"/>
      <c r="K462" s="365"/>
      <c r="L462" s="365"/>
      <c r="M462" s="365"/>
      <c r="N462" s="365"/>
      <c r="O462" s="365"/>
      <c r="P462" s="365"/>
      <c r="Q462" s="365"/>
      <c r="R462" s="365"/>
      <c r="S462" s="365"/>
      <c r="T462" s="365"/>
      <c r="U462" s="365"/>
      <c r="V462" s="365"/>
      <c r="W462" s="365"/>
      <c r="X462" s="365"/>
      <c r="Y462" s="365"/>
      <c r="Z462" s="365"/>
      <c r="AA462" s="365"/>
      <c r="AB462" s="365"/>
      <c r="AC462" s="365"/>
      <c r="AD462" s="365"/>
    </row>
    <row r="463" spans="3:30" s="352" customFormat="1">
      <c r="C463" s="365"/>
      <c r="D463" s="365"/>
      <c r="E463" s="365"/>
      <c r="F463" s="365"/>
      <c r="G463" s="365"/>
      <c r="H463" s="365"/>
      <c r="I463" s="365"/>
      <c r="J463" s="365"/>
      <c r="K463" s="365"/>
      <c r="L463" s="365"/>
      <c r="M463" s="365"/>
      <c r="N463" s="365"/>
      <c r="O463" s="365"/>
      <c r="P463" s="365"/>
      <c r="Q463" s="365"/>
      <c r="R463" s="365"/>
      <c r="S463" s="365"/>
      <c r="T463" s="365"/>
      <c r="U463" s="365"/>
      <c r="V463" s="365"/>
      <c r="W463" s="365"/>
      <c r="X463" s="365"/>
      <c r="Y463" s="365"/>
      <c r="Z463" s="365"/>
      <c r="AA463" s="365"/>
      <c r="AB463" s="365"/>
      <c r="AC463" s="365"/>
      <c r="AD463" s="365"/>
    </row>
    <row r="464" spans="3:30" s="352" customFormat="1">
      <c r="C464" s="365"/>
      <c r="D464" s="365"/>
      <c r="E464" s="365"/>
      <c r="F464" s="365"/>
      <c r="G464" s="365"/>
      <c r="H464" s="365"/>
      <c r="I464" s="365"/>
      <c r="J464" s="365"/>
      <c r="K464" s="365"/>
      <c r="L464" s="365"/>
      <c r="M464" s="365"/>
      <c r="N464" s="365"/>
      <c r="O464" s="365"/>
      <c r="P464" s="365"/>
      <c r="Q464" s="365"/>
      <c r="R464" s="365"/>
      <c r="S464" s="365"/>
      <c r="T464" s="365"/>
      <c r="U464" s="365"/>
      <c r="V464" s="365"/>
      <c r="W464" s="365"/>
      <c r="X464" s="365"/>
      <c r="Y464" s="365"/>
      <c r="Z464" s="365"/>
      <c r="AA464" s="365"/>
      <c r="AB464" s="365"/>
      <c r="AC464" s="365"/>
      <c r="AD464" s="365"/>
    </row>
    <row r="465" spans="3:30" s="352" customFormat="1">
      <c r="C465" s="365"/>
      <c r="D465" s="365"/>
      <c r="E465" s="365"/>
      <c r="F465" s="365"/>
      <c r="G465" s="365"/>
      <c r="H465" s="365"/>
      <c r="I465" s="365"/>
      <c r="J465" s="365"/>
      <c r="K465" s="365"/>
      <c r="L465" s="365"/>
      <c r="M465" s="365"/>
      <c r="N465" s="365"/>
      <c r="O465" s="365"/>
      <c r="P465" s="365"/>
      <c r="Q465" s="365"/>
      <c r="R465" s="365"/>
      <c r="S465" s="365"/>
      <c r="T465" s="365"/>
      <c r="U465" s="365"/>
      <c r="V465" s="365"/>
      <c r="W465" s="365"/>
      <c r="X465" s="365"/>
      <c r="Y465" s="365"/>
      <c r="Z465" s="365"/>
      <c r="AA465" s="365"/>
      <c r="AB465" s="365"/>
      <c r="AC465" s="365"/>
      <c r="AD465" s="365"/>
    </row>
    <row r="466" spans="3:30" s="352" customFormat="1">
      <c r="C466" s="365"/>
      <c r="D466" s="365"/>
      <c r="E466" s="365"/>
      <c r="F466" s="365"/>
      <c r="G466" s="365"/>
      <c r="H466" s="365"/>
      <c r="I466" s="365"/>
      <c r="J466" s="365"/>
      <c r="K466" s="365"/>
      <c r="L466" s="365"/>
      <c r="M466" s="365"/>
      <c r="N466" s="365"/>
      <c r="O466" s="365"/>
      <c r="P466" s="365"/>
      <c r="Q466" s="365"/>
      <c r="R466" s="365"/>
      <c r="S466" s="365"/>
      <c r="T466" s="365"/>
      <c r="U466" s="365"/>
      <c r="V466" s="365"/>
      <c r="W466" s="365"/>
      <c r="X466" s="365"/>
      <c r="Y466" s="365"/>
      <c r="Z466" s="365"/>
      <c r="AA466" s="365"/>
      <c r="AB466" s="365"/>
      <c r="AC466" s="365"/>
      <c r="AD466" s="365"/>
    </row>
    <row r="467" spans="3:30" s="352" customFormat="1">
      <c r="C467" s="365"/>
      <c r="D467" s="365"/>
      <c r="E467" s="365"/>
      <c r="F467" s="365"/>
      <c r="G467" s="365"/>
      <c r="H467" s="365"/>
      <c r="I467" s="365"/>
      <c r="J467" s="365"/>
      <c r="K467" s="365"/>
      <c r="L467" s="365"/>
      <c r="M467" s="365"/>
      <c r="N467" s="365"/>
      <c r="O467" s="365"/>
      <c r="P467" s="365"/>
      <c r="Q467" s="365"/>
      <c r="R467" s="365"/>
      <c r="S467" s="365"/>
      <c r="T467" s="365"/>
      <c r="U467" s="365"/>
      <c r="V467" s="365"/>
      <c r="W467" s="365"/>
      <c r="X467" s="365"/>
      <c r="Y467" s="365"/>
      <c r="Z467" s="365"/>
      <c r="AA467" s="365"/>
      <c r="AB467" s="365"/>
      <c r="AC467" s="365"/>
      <c r="AD467" s="365"/>
    </row>
    <row r="468" spans="3:30" s="352" customFormat="1">
      <c r="C468" s="365"/>
      <c r="D468" s="365"/>
      <c r="E468" s="365"/>
      <c r="F468" s="365"/>
      <c r="G468" s="365"/>
      <c r="H468" s="365"/>
      <c r="I468" s="365"/>
      <c r="J468" s="365"/>
      <c r="K468" s="365"/>
      <c r="L468" s="365"/>
      <c r="M468" s="365"/>
      <c r="N468" s="365"/>
      <c r="O468" s="365"/>
      <c r="P468" s="365"/>
      <c r="Q468" s="365"/>
      <c r="R468" s="365"/>
      <c r="S468" s="365"/>
      <c r="T468" s="365"/>
      <c r="U468" s="365"/>
      <c r="V468" s="365"/>
      <c r="W468" s="365"/>
      <c r="X468" s="365"/>
      <c r="Y468" s="365"/>
      <c r="Z468" s="365"/>
      <c r="AA468" s="365"/>
      <c r="AB468" s="365"/>
      <c r="AC468" s="365"/>
      <c r="AD468" s="365"/>
    </row>
    <row r="469" spans="3:30" s="352" customFormat="1">
      <c r="C469" s="365"/>
      <c r="D469" s="365"/>
      <c r="E469" s="365"/>
      <c r="F469" s="365"/>
      <c r="G469" s="365"/>
      <c r="H469" s="365"/>
      <c r="I469" s="365"/>
      <c r="J469" s="365"/>
      <c r="K469" s="365"/>
      <c r="L469" s="365"/>
      <c r="M469" s="365"/>
      <c r="N469" s="365"/>
      <c r="O469" s="365"/>
      <c r="P469" s="365"/>
      <c r="Q469" s="365"/>
      <c r="R469" s="365"/>
      <c r="S469" s="365"/>
      <c r="T469" s="365"/>
      <c r="U469" s="365"/>
      <c r="V469" s="365"/>
      <c r="W469" s="365"/>
      <c r="X469" s="365"/>
      <c r="Y469" s="365"/>
      <c r="Z469" s="365"/>
      <c r="AA469" s="365"/>
      <c r="AB469" s="365"/>
      <c r="AC469" s="365"/>
      <c r="AD469" s="365"/>
    </row>
    <row r="470" spans="3:30" s="352" customFormat="1">
      <c r="C470" s="365"/>
      <c r="D470" s="365"/>
      <c r="E470" s="365"/>
      <c r="F470" s="365"/>
      <c r="G470" s="365"/>
      <c r="H470" s="365"/>
      <c r="I470" s="365"/>
      <c r="J470" s="365"/>
      <c r="K470" s="365"/>
      <c r="L470" s="365"/>
      <c r="M470" s="365"/>
      <c r="N470" s="365"/>
      <c r="O470" s="365"/>
      <c r="P470" s="365"/>
      <c r="Q470" s="365"/>
      <c r="R470" s="365"/>
      <c r="S470" s="365"/>
      <c r="T470" s="365"/>
      <c r="U470" s="365"/>
      <c r="V470" s="365"/>
      <c r="W470" s="365"/>
      <c r="X470" s="365"/>
      <c r="Y470" s="365"/>
      <c r="Z470" s="365"/>
      <c r="AA470" s="365"/>
      <c r="AB470" s="365"/>
      <c r="AC470" s="365"/>
      <c r="AD470" s="365"/>
    </row>
    <row r="471" spans="3:30" s="352" customFormat="1">
      <c r="C471" s="365"/>
      <c r="D471" s="365"/>
      <c r="E471" s="365"/>
      <c r="F471" s="365"/>
      <c r="G471" s="365"/>
      <c r="H471" s="365"/>
      <c r="I471" s="365"/>
      <c r="J471" s="365"/>
      <c r="K471" s="365"/>
      <c r="L471" s="365"/>
      <c r="M471" s="365"/>
      <c r="N471" s="365"/>
      <c r="O471" s="365"/>
      <c r="P471" s="365"/>
      <c r="Q471" s="365"/>
      <c r="R471" s="365"/>
      <c r="S471" s="365"/>
      <c r="T471" s="365"/>
      <c r="U471" s="365"/>
      <c r="V471" s="365"/>
      <c r="W471" s="365"/>
      <c r="X471" s="365"/>
      <c r="Y471" s="365"/>
      <c r="Z471" s="365"/>
      <c r="AA471" s="365"/>
      <c r="AB471" s="365"/>
      <c r="AC471" s="365"/>
      <c r="AD471" s="365"/>
    </row>
    <row r="472" spans="3:30" s="352" customFormat="1">
      <c r="C472" s="365"/>
      <c r="D472" s="365"/>
      <c r="E472" s="365"/>
      <c r="F472" s="365"/>
      <c r="G472" s="365"/>
      <c r="H472" s="365"/>
      <c r="I472" s="365"/>
      <c r="J472" s="365"/>
      <c r="K472" s="365"/>
      <c r="L472" s="365"/>
      <c r="M472" s="365"/>
      <c r="N472" s="365"/>
      <c r="O472" s="365"/>
      <c r="P472" s="365"/>
      <c r="Q472" s="365"/>
      <c r="R472" s="365"/>
      <c r="S472" s="365"/>
      <c r="T472" s="365"/>
      <c r="U472" s="365"/>
      <c r="V472" s="365"/>
      <c r="W472" s="365"/>
      <c r="X472" s="365"/>
      <c r="Y472" s="365"/>
      <c r="Z472" s="365"/>
      <c r="AA472" s="365"/>
      <c r="AB472" s="365"/>
      <c r="AC472" s="365"/>
      <c r="AD472" s="365"/>
    </row>
    <row r="473" spans="3:30" s="352" customFormat="1">
      <c r="C473" s="365"/>
      <c r="D473" s="365"/>
      <c r="E473" s="365"/>
      <c r="F473" s="365"/>
      <c r="G473" s="365"/>
      <c r="H473" s="365"/>
      <c r="I473" s="365"/>
      <c r="J473" s="365"/>
      <c r="K473" s="365"/>
      <c r="L473" s="365"/>
      <c r="M473" s="365"/>
      <c r="N473" s="365"/>
      <c r="O473" s="365"/>
      <c r="P473" s="365"/>
      <c r="Q473" s="365"/>
      <c r="R473" s="365"/>
      <c r="S473" s="365"/>
      <c r="T473" s="365"/>
      <c r="U473" s="365"/>
      <c r="V473" s="365"/>
      <c r="W473" s="365"/>
      <c r="X473" s="365"/>
      <c r="Y473" s="365"/>
      <c r="Z473" s="365"/>
      <c r="AA473" s="365"/>
      <c r="AB473" s="365"/>
      <c r="AC473" s="365"/>
      <c r="AD473" s="365"/>
    </row>
    <row r="474" spans="3:30" s="352" customFormat="1">
      <c r="C474" s="365"/>
      <c r="D474" s="365"/>
      <c r="E474" s="365"/>
      <c r="F474" s="365"/>
      <c r="G474" s="365"/>
      <c r="H474" s="365"/>
      <c r="I474" s="365"/>
      <c r="J474" s="365"/>
      <c r="K474" s="365"/>
      <c r="L474" s="365"/>
      <c r="M474" s="365"/>
      <c r="N474" s="365"/>
      <c r="O474" s="365"/>
      <c r="P474" s="365"/>
      <c r="Q474" s="365"/>
      <c r="R474" s="365"/>
      <c r="S474" s="365"/>
      <c r="T474" s="365"/>
      <c r="U474" s="365"/>
      <c r="V474" s="365"/>
      <c r="W474" s="365"/>
      <c r="X474" s="365"/>
      <c r="Y474" s="365"/>
      <c r="Z474" s="365"/>
      <c r="AA474" s="365"/>
      <c r="AB474" s="365"/>
      <c r="AC474" s="365"/>
      <c r="AD474" s="365"/>
    </row>
    <row r="475" spans="3:30" s="352" customFormat="1">
      <c r="C475" s="365"/>
      <c r="D475" s="365"/>
      <c r="E475" s="365"/>
      <c r="F475" s="365"/>
      <c r="G475" s="365"/>
      <c r="H475" s="365"/>
      <c r="I475" s="365"/>
      <c r="J475" s="365"/>
      <c r="K475" s="365"/>
      <c r="L475" s="365"/>
      <c r="M475" s="365"/>
      <c r="N475" s="365"/>
      <c r="O475" s="365"/>
      <c r="P475" s="365"/>
      <c r="Q475" s="365"/>
      <c r="R475" s="365"/>
      <c r="S475" s="365"/>
      <c r="T475" s="365"/>
      <c r="U475" s="365"/>
      <c r="V475" s="365"/>
      <c r="W475" s="365"/>
      <c r="X475" s="365"/>
      <c r="Y475" s="365"/>
      <c r="Z475" s="365"/>
      <c r="AA475" s="365"/>
      <c r="AB475" s="365"/>
      <c r="AC475" s="365"/>
      <c r="AD475" s="365"/>
    </row>
    <row r="476" spans="3:30" s="352" customFormat="1">
      <c r="C476" s="365"/>
      <c r="D476" s="365"/>
      <c r="E476" s="365"/>
      <c r="F476" s="365"/>
      <c r="G476" s="365"/>
      <c r="H476" s="365"/>
      <c r="I476" s="365"/>
      <c r="J476" s="365"/>
      <c r="K476" s="365"/>
      <c r="L476" s="365"/>
      <c r="M476" s="365"/>
      <c r="N476" s="365"/>
      <c r="O476" s="365"/>
      <c r="P476" s="365"/>
      <c r="Q476" s="365"/>
      <c r="R476" s="365"/>
      <c r="S476" s="365"/>
      <c r="T476" s="365"/>
      <c r="U476" s="365"/>
      <c r="V476" s="365"/>
      <c r="W476" s="365"/>
      <c r="X476" s="365"/>
      <c r="Y476" s="365"/>
      <c r="Z476" s="365"/>
      <c r="AA476" s="365"/>
      <c r="AB476" s="365"/>
      <c r="AC476" s="365"/>
      <c r="AD476" s="365"/>
    </row>
    <row r="477" spans="3:30" s="352" customFormat="1">
      <c r="C477" s="365"/>
      <c r="D477" s="365"/>
      <c r="E477" s="365"/>
      <c r="F477" s="365"/>
      <c r="G477" s="365"/>
      <c r="H477" s="365"/>
      <c r="I477" s="365"/>
      <c r="J477" s="365"/>
      <c r="K477" s="365"/>
      <c r="L477" s="365"/>
      <c r="M477" s="365"/>
      <c r="N477" s="365"/>
      <c r="O477" s="365"/>
      <c r="P477" s="365"/>
      <c r="Q477" s="365"/>
      <c r="R477" s="365"/>
      <c r="S477" s="365"/>
      <c r="T477" s="365"/>
      <c r="U477" s="365"/>
      <c r="V477" s="365"/>
      <c r="W477" s="365"/>
      <c r="X477" s="365"/>
      <c r="Y477" s="365"/>
      <c r="Z477" s="365"/>
      <c r="AA477" s="365"/>
      <c r="AB477" s="365"/>
      <c r="AC477" s="365"/>
      <c r="AD477" s="365"/>
    </row>
    <row r="478" spans="3:30" s="352" customFormat="1">
      <c r="C478" s="365"/>
      <c r="D478" s="365"/>
      <c r="E478" s="365"/>
      <c r="F478" s="365"/>
      <c r="G478" s="365"/>
      <c r="H478" s="365"/>
      <c r="I478" s="365"/>
      <c r="J478" s="365"/>
      <c r="K478" s="365"/>
      <c r="L478" s="365"/>
      <c r="M478" s="365"/>
      <c r="N478" s="365"/>
      <c r="O478" s="365"/>
      <c r="P478" s="365"/>
      <c r="Q478" s="365"/>
      <c r="R478" s="365"/>
      <c r="S478" s="365"/>
      <c r="T478" s="365"/>
      <c r="U478" s="365"/>
      <c r="V478" s="365"/>
      <c r="W478" s="365"/>
      <c r="X478" s="365"/>
      <c r="Y478" s="365"/>
      <c r="Z478" s="365"/>
      <c r="AA478" s="365"/>
      <c r="AB478" s="365"/>
      <c r="AC478" s="365"/>
      <c r="AD478" s="365"/>
    </row>
    <row r="479" spans="3:30" s="352" customFormat="1">
      <c r="C479" s="365"/>
      <c r="D479" s="365"/>
      <c r="E479" s="365"/>
      <c r="F479" s="365"/>
      <c r="G479" s="365"/>
      <c r="H479" s="365"/>
      <c r="I479" s="365"/>
      <c r="J479" s="365"/>
      <c r="K479" s="365"/>
      <c r="L479" s="365"/>
      <c r="M479" s="365"/>
      <c r="N479" s="365"/>
      <c r="O479" s="365"/>
      <c r="P479" s="365"/>
      <c r="Q479" s="365"/>
      <c r="R479" s="365"/>
      <c r="S479" s="365"/>
      <c r="T479" s="365"/>
      <c r="U479" s="365"/>
      <c r="V479" s="365"/>
      <c r="W479" s="365"/>
      <c r="X479" s="365"/>
      <c r="Y479" s="365"/>
      <c r="Z479" s="365"/>
      <c r="AA479" s="365"/>
      <c r="AB479" s="365"/>
      <c r="AC479" s="365"/>
      <c r="AD479" s="365"/>
    </row>
    <row r="480" spans="3:30" s="352" customFormat="1">
      <c r="C480" s="365"/>
      <c r="D480" s="365"/>
      <c r="E480" s="365"/>
      <c r="F480" s="365"/>
      <c r="G480" s="365"/>
      <c r="H480" s="365"/>
      <c r="I480" s="365"/>
      <c r="J480" s="365"/>
      <c r="K480" s="365"/>
      <c r="L480" s="365"/>
      <c r="M480" s="365"/>
      <c r="N480" s="365"/>
      <c r="O480" s="365"/>
      <c r="P480" s="365"/>
      <c r="Q480" s="365"/>
      <c r="R480" s="365"/>
      <c r="S480" s="365"/>
      <c r="T480" s="365"/>
      <c r="U480" s="365"/>
      <c r="V480" s="365"/>
      <c r="W480" s="365"/>
      <c r="X480" s="365"/>
      <c r="Y480" s="365"/>
      <c r="Z480" s="365"/>
      <c r="AA480" s="365"/>
      <c r="AB480" s="365"/>
      <c r="AC480" s="365"/>
      <c r="AD480" s="365"/>
    </row>
    <row r="481" spans="3:30" s="352" customFormat="1">
      <c r="C481" s="365"/>
      <c r="D481" s="365"/>
      <c r="E481" s="365"/>
      <c r="F481" s="365"/>
      <c r="G481" s="365"/>
      <c r="H481" s="365"/>
      <c r="I481" s="365"/>
      <c r="J481" s="365"/>
      <c r="K481" s="365"/>
      <c r="L481" s="365"/>
      <c r="M481" s="365"/>
      <c r="N481" s="365"/>
      <c r="O481" s="365"/>
      <c r="P481" s="365"/>
      <c r="Q481" s="365"/>
      <c r="R481" s="365"/>
      <c r="S481" s="365"/>
      <c r="T481" s="365"/>
      <c r="U481" s="365"/>
      <c r="V481" s="365"/>
      <c r="W481" s="365"/>
      <c r="X481" s="365"/>
      <c r="Y481" s="365"/>
      <c r="Z481" s="365"/>
      <c r="AA481" s="365"/>
      <c r="AB481" s="365"/>
      <c r="AC481" s="365"/>
      <c r="AD481" s="365"/>
    </row>
    <row r="482" spans="3:30" s="352" customFormat="1">
      <c r="C482" s="365"/>
      <c r="D482" s="365"/>
      <c r="E482" s="365"/>
      <c r="F482" s="365"/>
      <c r="G482" s="365"/>
      <c r="H482" s="365"/>
      <c r="I482" s="365"/>
      <c r="J482" s="365"/>
      <c r="K482" s="365"/>
      <c r="L482" s="365"/>
      <c r="M482" s="365"/>
      <c r="N482" s="365"/>
      <c r="O482" s="365"/>
      <c r="P482" s="365"/>
      <c r="Q482" s="365"/>
      <c r="R482" s="365"/>
      <c r="S482" s="365"/>
      <c r="T482" s="365"/>
      <c r="U482" s="365"/>
      <c r="V482" s="365"/>
      <c r="W482" s="365"/>
      <c r="X482" s="365"/>
      <c r="Y482" s="365"/>
      <c r="Z482" s="365"/>
      <c r="AA482" s="365"/>
      <c r="AB482" s="365"/>
      <c r="AC482" s="365"/>
      <c r="AD482" s="365"/>
    </row>
    <row r="483" spans="3:30" s="352" customFormat="1">
      <c r="C483" s="365"/>
      <c r="D483" s="365"/>
      <c r="E483" s="365"/>
      <c r="F483" s="365"/>
      <c r="G483" s="365"/>
      <c r="H483" s="365"/>
      <c r="I483" s="365"/>
      <c r="J483" s="365"/>
      <c r="K483" s="365"/>
      <c r="L483" s="365"/>
      <c r="M483" s="365"/>
      <c r="N483" s="365"/>
      <c r="O483" s="365"/>
      <c r="P483" s="365"/>
      <c r="Q483" s="365"/>
      <c r="R483" s="365"/>
      <c r="S483" s="365"/>
      <c r="T483" s="365"/>
      <c r="U483" s="365"/>
      <c r="V483" s="365"/>
      <c r="W483" s="365"/>
      <c r="X483" s="365"/>
      <c r="Y483" s="365"/>
      <c r="Z483" s="365"/>
      <c r="AA483" s="365"/>
      <c r="AB483" s="365"/>
      <c r="AC483" s="365"/>
      <c r="AD483" s="365"/>
    </row>
    <row r="484" spans="3:30" s="352" customFormat="1">
      <c r="C484" s="365"/>
      <c r="D484" s="365"/>
      <c r="E484" s="365"/>
      <c r="F484" s="365"/>
      <c r="G484" s="365"/>
      <c r="H484" s="365"/>
      <c r="I484" s="365"/>
      <c r="J484" s="365"/>
      <c r="K484" s="365"/>
      <c r="L484" s="365"/>
      <c r="M484" s="365"/>
      <c r="N484" s="365"/>
      <c r="O484" s="365"/>
      <c r="P484" s="365"/>
      <c r="Q484" s="365"/>
      <c r="R484" s="365"/>
      <c r="S484" s="365"/>
      <c r="T484" s="365"/>
      <c r="U484" s="365"/>
      <c r="V484" s="365"/>
      <c r="W484" s="365"/>
      <c r="X484" s="365"/>
      <c r="Y484" s="365"/>
      <c r="Z484" s="365"/>
      <c r="AA484" s="365"/>
      <c r="AB484" s="365"/>
      <c r="AC484" s="365"/>
      <c r="AD484" s="365"/>
    </row>
    <row r="485" spans="3:30" s="352" customFormat="1">
      <c r="C485" s="365"/>
      <c r="D485" s="365"/>
      <c r="E485" s="365"/>
      <c r="F485" s="365"/>
      <c r="G485" s="365"/>
      <c r="H485" s="365"/>
      <c r="I485" s="365"/>
      <c r="J485" s="365"/>
      <c r="K485" s="365"/>
      <c r="L485" s="365"/>
      <c r="M485" s="365"/>
      <c r="N485" s="365"/>
      <c r="O485" s="365"/>
      <c r="P485" s="365"/>
      <c r="Q485" s="365"/>
      <c r="R485" s="365"/>
      <c r="S485" s="365"/>
      <c r="T485" s="365"/>
      <c r="U485" s="365"/>
      <c r="V485" s="365"/>
      <c r="W485" s="365"/>
      <c r="X485" s="365"/>
      <c r="Y485" s="365"/>
      <c r="Z485" s="365"/>
      <c r="AA485" s="365"/>
      <c r="AB485" s="365"/>
      <c r="AC485" s="365"/>
      <c r="AD485" s="365"/>
    </row>
    <row r="486" spans="3:30" s="352" customFormat="1">
      <c r="C486" s="365"/>
      <c r="D486" s="365"/>
      <c r="E486" s="365"/>
      <c r="F486" s="365"/>
      <c r="G486" s="365"/>
      <c r="H486" s="365"/>
      <c r="I486" s="365"/>
      <c r="J486" s="365"/>
      <c r="K486" s="365"/>
      <c r="L486" s="365"/>
      <c r="M486" s="365"/>
      <c r="N486" s="365"/>
      <c r="O486" s="365"/>
      <c r="P486" s="365"/>
      <c r="Q486" s="365"/>
      <c r="R486" s="365"/>
      <c r="S486" s="365"/>
      <c r="T486" s="365"/>
      <c r="U486" s="365"/>
      <c r="V486" s="365"/>
      <c r="W486" s="365"/>
      <c r="X486" s="365"/>
      <c r="Y486" s="365"/>
      <c r="Z486" s="365"/>
      <c r="AA486" s="365"/>
      <c r="AB486" s="365"/>
      <c r="AC486" s="365"/>
      <c r="AD486" s="365"/>
    </row>
    <row r="487" spans="3:30" s="352" customFormat="1">
      <c r="C487" s="365"/>
      <c r="D487" s="365"/>
      <c r="E487" s="365"/>
      <c r="F487" s="365"/>
      <c r="G487" s="365"/>
      <c r="H487" s="365"/>
      <c r="I487" s="365"/>
      <c r="J487" s="365"/>
      <c r="K487" s="365"/>
      <c r="L487" s="365"/>
      <c r="M487" s="365"/>
      <c r="N487" s="365"/>
      <c r="O487" s="365"/>
      <c r="P487" s="365"/>
      <c r="Q487" s="365"/>
      <c r="R487" s="365"/>
      <c r="S487" s="365"/>
      <c r="T487" s="365"/>
      <c r="U487" s="365"/>
      <c r="V487" s="365"/>
      <c r="W487" s="365"/>
      <c r="X487" s="365"/>
      <c r="Y487" s="365"/>
      <c r="Z487" s="365"/>
      <c r="AA487" s="365"/>
      <c r="AB487" s="365"/>
      <c r="AC487" s="365"/>
      <c r="AD487" s="365"/>
    </row>
    <row r="488" spans="3:30" s="352" customFormat="1">
      <c r="C488" s="365"/>
      <c r="D488" s="365"/>
      <c r="E488" s="365"/>
      <c r="F488" s="365"/>
      <c r="G488" s="365"/>
      <c r="H488" s="365"/>
      <c r="I488" s="365"/>
      <c r="J488" s="365"/>
      <c r="K488" s="365"/>
      <c r="L488" s="365"/>
      <c r="M488" s="365"/>
      <c r="N488" s="365"/>
      <c r="O488" s="365"/>
      <c r="P488" s="365"/>
      <c r="Q488" s="365"/>
      <c r="R488" s="365"/>
      <c r="S488" s="365"/>
      <c r="T488" s="365"/>
      <c r="U488" s="365"/>
      <c r="V488" s="365"/>
      <c r="W488" s="365"/>
      <c r="X488" s="365"/>
      <c r="Y488" s="365"/>
      <c r="Z488" s="365"/>
      <c r="AA488" s="365"/>
      <c r="AB488" s="365"/>
      <c r="AC488" s="365"/>
      <c r="AD488" s="365"/>
    </row>
    <row r="489" spans="3:30" s="352" customFormat="1">
      <c r="C489" s="365"/>
      <c r="D489" s="365"/>
      <c r="E489" s="365"/>
      <c r="F489" s="365"/>
      <c r="G489" s="365"/>
      <c r="H489" s="365"/>
      <c r="I489" s="365"/>
      <c r="J489" s="365"/>
      <c r="K489" s="365"/>
      <c r="L489" s="365"/>
      <c r="M489" s="365"/>
      <c r="N489" s="365"/>
      <c r="O489" s="365"/>
      <c r="P489" s="365"/>
      <c r="Q489" s="365"/>
      <c r="R489" s="365"/>
      <c r="S489" s="365"/>
      <c r="T489" s="365"/>
      <c r="U489" s="365"/>
      <c r="V489" s="365"/>
      <c r="W489" s="365"/>
      <c r="X489" s="365"/>
      <c r="Y489" s="365"/>
      <c r="Z489" s="365"/>
      <c r="AA489" s="365"/>
      <c r="AB489" s="365"/>
      <c r="AC489" s="365"/>
      <c r="AD489" s="365"/>
    </row>
    <row r="490" spans="3:30" s="352" customFormat="1">
      <c r="C490" s="365"/>
      <c r="D490" s="365"/>
      <c r="E490" s="365"/>
      <c r="F490" s="365"/>
      <c r="G490" s="365"/>
      <c r="H490" s="365"/>
      <c r="I490" s="365"/>
      <c r="J490" s="365"/>
      <c r="K490" s="365"/>
      <c r="L490" s="365"/>
      <c r="M490" s="365"/>
      <c r="N490" s="365"/>
      <c r="O490" s="365"/>
      <c r="P490" s="365"/>
      <c r="Q490" s="365"/>
      <c r="R490" s="365"/>
      <c r="S490" s="365"/>
      <c r="T490" s="365"/>
      <c r="U490" s="365"/>
      <c r="V490" s="365"/>
      <c r="W490" s="365"/>
      <c r="X490" s="365"/>
      <c r="Y490" s="365"/>
      <c r="Z490" s="365"/>
      <c r="AA490" s="365"/>
      <c r="AB490" s="365"/>
      <c r="AC490" s="365"/>
      <c r="AD490" s="365"/>
    </row>
    <row r="491" spans="3:30" s="352" customFormat="1">
      <c r="C491" s="365"/>
      <c r="D491" s="365"/>
      <c r="E491" s="365"/>
      <c r="F491" s="365"/>
      <c r="G491" s="365"/>
      <c r="H491" s="365"/>
      <c r="I491" s="365"/>
      <c r="J491" s="365"/>
      <c r="K491" s="365"/>
      <c r="L491" s="365"/>
      <c r="M491" s="365"/>
      <c r="N491" s="365"/>
      <c r="O491" s="365"/>
      <c r="P491" s="365"/>
      <c r="Q491" s="365"/>
      <c r="R491" s="365"/>
      <c r="S491" s="365"/>
      <c r="T491" s="365"/>
      <c r="U491" s="365"/>
      <c r="V491" s="365"/>
      <c r="W491" s="365"/>
      <c r="X491" s="365"/>
      <c r="Y491" s="365"/>
      <c r="Z491" s="365"/>
      <c r="AA491" s="365"/>
      <c r="AB491" s="365"/>
      <c r="AC491" s="365"/>
      <c r="AD491" s="365"/>
    </row>
    <row r="492" spans="3:30" s="352" customFormat="1">
      <c r="C492" s="365"/>
      <c r="D492" s="365"/>
      <c r="E492" s="365"/>
      <c r="F492" s="365"/>
      <c r="G492" s="365"/>
      <c r="H492" s="365"/>
      <c r="I492" s="365"/>
      <c r="J492" s="365"/>
      <c r="K492" s="365"/>
      <c r="L492" s="365"/>
      <c r="M492" s="365"/>
      <c r="N492" s="365"/>
      <c r="O492" s="365"/>
      <c r="P492" s="365"/>
      <c r="Q492" s="365"/>
      <c r="R492" s="365"/>
      <c r="S492" s="365"/>
      <c r="T492" s="365"/>
      <c r="U492" s="365"/>
      <c r="V492" s="365"/>
      <c r="W492" s="365"/>
      <c r="X492" s="365"/>
      <c r="Y492" s="365"/>
      <c r="Z492" s="365"/>
      <c r="AA492" s="365"/>
      <c r="AB492" s="365"/>
      <c r="AC492" s="365"/>
      <c r="AD492" s="365"/>
    </row>
    <row r="493" spans="3:30" s="352" customFormat="1">
      <c r="C493" s="365"/>
      <c r="D493" s="365"/>
      <c r="E493" s="365"/>
      <c r="F493" s="365"/>
      <c r="G493" s="365"/>
      <c r="H493" s="365"/>
      <c r="I493" s="365"/>
      <c r="J493" s="365"/>
      <c r="K493" s="365"/>
      <c r="L493" s="365"/>
      <c r="M493" s="365"/>
      <c r="N493" s="365"/>
      <c r="O493" s="365"/>
      <c r="P493" s="365"/>
      <c r="Q493" s="365"/>
      <c r="R493" s="365"/>
      <c r="S493" s="365"/>
      <c r="T493" s="365"/>
      <c r="U493" s="365"/>
      <c r="V493" s="365"/>
      <c r="W493" s="365"/>
      <c r="X493" s="365"/>
      <c r="Y493" s="365"/>
      <c r="Z493" s="365"/>
      <c r="AA493" s="365"/>
      <c r="AB493" s="365"/>
      <c r="AC493" s="365"/>
      <c r="AD493" s="365"/>
    </row>
  </sheetData>
  <sheetProtection password="C6DB" sheet="1" objects="1" scenarios="1" formatCells="0" formatColumns="0" formatRows="0"/>
  <mergeCells count="17">
    <mergeCell ref="X8:AD9"/>
    <mergeCell ref="C9:I9"/>
    <mergeCell ref="J9:P9"/>
    <mergeCell ref="Q9:W9"/>
    <mergeCell ref="A2:P2"/>
    <mergeCell ref="A3:P3"/>
    <mergeCell ref="A4:P4"/>
    <mergeCell ref="Q89:W89"/>
    <mergeCell ref="B89:B90"/>
    <mergeCell ref="A8:A10"/>
    <mergeCell ref="B8:B10"/>
    <mergeCell ref="C8:W8"/>
    <mergeCell ref="B119:B120"/>
    <mergeCell ref="A84:B84"/>
    <mergeCell ref="A85:B85"/>
    <mergeCell ref="C89:I89"/>
    <mergeCell ref="J89:P89"/>
  </mergeCells>
  <dataValidations count="1">
    <dataValidation type="custom" allowBlank="1" showInputMessage="1" showErrorMessage="1" sqref="C119">
      <formula1>"80%, 20%"</formula1>
    </dataValidation>
  </dataValidations>
  <printOptions horizont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2" manualBreakCount="2">
    <brk id="43" max="29" man="1"/>
    <brk id="78" max="29" man="1"/>
  </rowBreaks>
  <colBreaks count="2" manualBreakCount="2">
    <brk id="16" max="116" man="1"/>
    <brk id="30" max="1048575" man="1"/>
  </colBreaks>
  <ignoredErrors>
    <ignoredError sqref="D84:AD84 D79:AD79 D72:AD72 D66:AD66 D61:AD61 C53:AD53 D57:AD57 D49:AD49 D24:AD24 E18:AD18 D36:AD36 E85:G85 L85:P85 S85:W85 X17:AD17 C14:C16 C19:C23 C25:C27 C29 C45:C47 C50:C52 C58:C60 C62:C65 C67:C68 C73:C78 C80:C83 C37:C43 C44 L44:Q44 V44:W44 C48 E55:I55 C71 C70 C13 E13:J13 E14:J16 E23:J23 E26:J27 E29:J29 E45:J47 E37:J43 E44:J44 E48:J48 E50:J52 E58:J60 E62:J65 E67:J68 E71:J71 E70:J70 E73:J78 E80:J83 L13:Q13 L14:Q16 E19:J19 L19:Q19 E20:J22 L20:Q22 L23:Q23 E25:J25 L25:Q25 L26:Q27 L29:Q29 L45:Q47 L37:Q43 L48:Q48 L50:Q52 L58:Q60 L62:Q65 L69:Q69 L67:Q68 L71:Q71 L70:P70 L73:Q78 L80:Q83 S13:W13 S14:W16 S19:W19 S20:W22 S23:W23 S25:W25 S26:W27 S29:W29 S44:U44 S45:W47 S37:W43 S48:W48 S50:W52 S58:W60 S62:W65 S69:W69 S67:W68 S71:W71 S73:W78 S80:W83 E54:I54 L55:P55 L54:P54 S55:W55 S54:W54 C31:C35 E31:J35 L31:Q35 S31:W35" unlockedFormula="1"/>
    <ignoredError sqref="C36 C18 C12 J12 Q12 Z12:AD12" formulaRange="1"/>
    <ignoredError sqref="A11:A12 A73:B79 A28:A30 A31:A36 A57:A72 A53:A54 A41:A47 A48:B49 A50:A52" numberStoredAsText="1"/>
    <ignoredError sqref="A80:A83 A37:A40 A13:A27" twoDigitTextYear="1" numberStoredAsText="1"/>
    <ignoredError sqref="C102:W103 C105:W105" evalError="1"/>
    <ignoredError sqref="C104 D104:W104" evalError="1"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F6C6"/>
  </sheetPr>
  <dimension ref="A1:AP499"/>
  <sheetViews>
    <sheetView view="pageBreakPreview" zoomScale="85" zoomScaleNormal="80" zoomScaleSheetLayoutView="85" workbookViewId="0">
      <pane xSplit="2" ySplit="10" topLeftCell="D11" activePane="bottomRight" state="frozen"/>
      <selection pane="topRight" activeCell="C1" sqref="C1"/>
      <selection pane="bottomLeft" activeCell="A11" sqref="A11"/>
      <selection pane="bottomRight" activeCell="E41" sqref="E41"/>
    </sheetView>
  </sheetViews>
  <sheetFormatPr defaultRowHeight="15"/>
  <cols>
    <col min="1" max="1" width="7.28515625" style="352" customWidth="1"/>
    <col min="2" max="2" width="49" style="352" customWidth="1"/>
    <col min="3" max="3" width="12.5703125" style="353" customWidth="1"/>
    <col min="4" max="4" width="11.85546875" style="353" customWidth="1"/>
    <col min="5" max="5" width="13.85546875" style="353" customWidth="1"/>
    <col min="6" max="6" width="14.85546875" style="353" customWidth="1"/>
    <col min="7" max="7" width="14.140625" style="353" customWidth="1"/>
    <col min="8" max="8" width="16.42578125" style="382" customWidth="1"/>
    <col min="9" max="9" width="14" style="353" customWidth="1"/>
    <col min="10" max="10" width="14.7109375" style="382" customWidth="1"/>
    <col min="11" max="11" width="14.140625" style="353" customWidth="1"/>
    <col min="12" max="13" width="13.85546875" style="353" customWidth="1"/>
    <col min="14" max="14" width="15" style="382" customWidth="1"/>
    <col min="15" max="15" width="12.28515625" style="353" customWidth="1"/>
    <col min="16" max="16" width="15" style="353" customWidth="1"/>
    <col min="17" max="17" width="14.28515625" style="353" customWidth="1"/>
    <col min="18" max="18" width="15" style="382" customWidth="1"/>
    <col min="19" max="19" width="14.28515625" style="353" customWidth="1"/>
    <col min="20" max="20" width="15" style="382" customWidth="1"/>
    <col min="21" max="21" width="14.28515625" style="353" customWidth="1"/>
    <col min="22" max="22" width="15" style="382" customWidth="1"/>
    <col min="23" max="23" width="14.140625" style="353" customWidth="1"/>
    <col min="24" max="24" width="15" style="382" customWidth="1"/>
    <col min="25" max="25" width="14.28515625" style="353" customWidth="1"/>
    <col min="26" max="26" width="15" style="382" customWidth="1"/>
    <col min="27" max="27" width="12.28515625" style="353" customWidth="1"/>
    <col min="28" max="28" width="11.42578125" style="353" bestFit="1" customWidth="1"/>
    <col min="29" max="29" width="12.7109375" style="353" customWidth="1"/>
    <col min="30" max="30" width="12.7109375" style="382" customWidth="1"/>
    <col min="31" max="31" width="13" style="353" customWidth="1"/>
    <col min="32" max="32" width="12.5703125" style="382" bestFit="1" customWidth="1"/>
    <col min="33" max="33" width="12.7109375" style="353" customWidth="1"/>
    <col min="34" max="34" width="12.7109375" style="382" customWidth="1"/>
    <col min="35" max="35" width="14.28515625" style="353" customWidth="1"/>
    <col min="36" max="36" width="15" style="382" bestFit="1" customWidth="1"/>
    <col min="37" max="37" width="12.7109375" style="353" customWidth="1"/>
    <col min="38" max="38" width="12" style="382" customWidth="1"/>
    <col min="39" max="39" width="9.140625" style="353"/>
    <col min="40" max="42" width="9.140625" style="352"/>
    <col min="43" max="16384" width="9.140625" style="260"/>
  </cols>
  <sheetData>
    <row r="1" spans="1:42">
      <c r="M1" s="490" t="s">
        <v>249</v>
      </c>
      <c r="AL1" s="490" t="s">
        <v>249</v>
      </c>
      <c r="AN1" s="298"/>
      <c r="AO1" s="298"/>
      <c r="AP1" s="298"/>
    </row>
    <row r="2" spans="1:42" ht="39" customHeight="1">
      <c r="A2" s="3584" t="s">
        <v>879</v>
      </c>
      <c r="B2" s="3584"/>
      <c r="C2" s="3584"/>
      <c r="D2" s="3584"/>
      <c r="E2" s="3584"/>
      <c r="F2" s="3584"/>
      <c r="G2" s="3584"/>
      <c r="H2" s="3584"/>
      <c r="I2" s="3584"/>
      <c r="J2" s="3584"/>
      <c r="K2" s="3584"/>
      <c r="L2" s="3584"/>
      <c r="M2" s="3584"/>
      <c r="N2" s="3584"/>
      <c r="O2" s="1852"/>
      <c r="P2" s="1852"/>
      <c r="Q2" s="1852"/>
      <c r="R2" s="1852"/>
      <c r="S2" s="1852"/>
      <c r="T2" s="1852"/>
      <c r="U2" s="1852"/>
      <c r="V2" s="1852"/>
      <c r="W2" s="1852"/>
      <c r="X2" s="1852"/>
      <c r="Y2" s="1852"/>
      <c r="Z2" s="1852"/>
      <c r="AA2" s="1852"/>
      <c r="AB2" s="1852"/>
      <c r="AC2" s="1852"/>
      <c r="AD2" s="1852"/>
      <c r="AE2" s="1852"/>
      <c r="AF2" s="1852"/>
      <c r="AG2" s="1852"/>
      <c r="AH2" s="1852"/>
      <c r="AI2" s="1852"/>
      <c r="AJ2" s="1852"/>
      <c r="AK2" s="1852"/>
      <c r="AL2" s="1852"/>
      <c r="AN2" s="186"/>
      <c r="AO2" s="298"/>
      <c r="AP2" s="298"/>
    </row>
    <row r="3" spans="1:42" ht="20.25">
      <c r="A3" s="3585" t="str">
        <f>'1. Анкетна карта'!A3:J3</f>
        <v>на "Водоснабдяване и канализация" ООД , гр. Враца</v>
      </c>
      <c r="B3" s="3585"/>
      <c r="C3" s="3585"/>
      <c r="D3" s="3585"/>
      <c r="E3" s="3585"/>
      <c r="F3" s="3585"/>
      <c r="G3" s="3585"/>
      <c r="H3" s="3585"/>
      <c r="I3" s="3585"/>
      <c r="J3" s="3585"/>
      <c r="K3" s="3585"/>
      <c r="L3" s="3585"/>
      <c r="M3" s="3585"/>
      <c r="N3" s="3585"/>
      <c r="O3" s="1197"/>
      <c r="P3" s="1197"/>
      <c r="Q3" s="1197"/>
      <c r="R3" s="1197"/>
      <c r="S3" s="1197"/>
      <c r="T3" s="1197"/>
      <c r="U3" s="1197"/>
      <c r="V3" s="1197"/>
      <c r="W3" s="1197"/>
      <c r="X3" s="1197"/>
      <c r="Y3" s="1197"/>
      <c r="Z3" s="1197"/>
      <c r="AA3" s="1197"/>
      <c r="AB3" s="1197"/>
      <c r="AC3" s="1197"/>
      <c r="AD3" s="1197"/>
      <c r="AE3" s="1197"/>
      <c r="AF3" s="1197"/>
      <c r="AG3" s="1197"/>
      <c r="AH3" s="1197"/>
      <c r="AI3" s="1197"/>
      <c r="AJ3" s="1197"/>
      <c r="AK3" s="1197"/>
      <c r="AL3" s="1197"/>
      <c r="AN3" s="186"/>
      <c r="AO3" s="298"/>
      <c r="AP3" s="298"/>
    </row>
    <row r="4" spans="1:42" ht="21" customHeight="1">
      <c r="A4" s="3585" t="str">
        <f>'1. Анкетна карта'!A4:J4</f>
        <v>ЕИК по БУЛСТАТ: 816090199</v>
      </c>
      <c r="B4" s="3585"/>
      <c r="C4" s="3585"/>
      <c r="D4" s="3585"/>
      <c r="E4" s="3585"/>
      <c r="F4" s="3585"/>
      <c r="G4" s="3585"/>
      <c r="H4" s="3585"/>
      <c r="I4" s="3585"/>
      <c r="J4" s="3585"/>
      <c r="K4" s="3585"/>
      <c r="L4" s="3585"/>
      <c r="M4" s="3585"/>
      <c r="N4" s="3585"/>
      <c r="O4" s="1197"/>
      <c r="P4" s="1197"/>
      <c r="Q4" s="1197"/>
      <c r="R4" s="1197"/>
      <c r="S4" s="1197"/>
      <c r="T4" s="1197"/>
      <c r="U4" s="1197"/>
      <c r="V4" s="1197"/>
      <c r="W4" s="1197"/>
      <c r="X4" s="1197"/>
      <c r="Y4" s="1197"/>
      <c r="Z4" s="1197"/>
      <c r="AA4" s="1197"/>
      <c r="AB4" s="1197"/>
      <c r="AC4" s="1197"/>
      <c r="AD4" s="1197"/>
      <c r="AE4" s="1197"/>
      <c r="AF4" s="1197"/>
      <c r="AG4" s="1197"/>
      <c r="AH4" s="1197"/>
      <c r="AI4" s="1197"/>
      <c r="AJ4" s="1197"/>
      <c r="AK4" s="1197"/>
      <c r="AL4" s="1197"/>
      <c r="AN4" s="186"/>
      <c r="AO4" s="298"/>
      <c r="AP4" s="298"/>
    </row>
    <row r="5" spans="1:42" ht="21" customHeight="1">
      <c r="A5" s="612"/>
      <c r="B5" s="612"/>
      <c r="C5" s="3586"/>
      <c r="D5" s="3586"/>
      <c r="E5" s="3586"/>
      <c r="F5" s="3586"/>
      <c r="G5" s="3586"/>
      <c r="H5" s="3586"/>
      <c r="I5" s="3586"/>
      <c r="J5" s="3586"/>
      <c r="K5" s="3586"/>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N5" s="186"/>
      <c r="AO5" s="298"/>
      <c r="AP5" s="298"/>
    </row>
    <row r="6" spans="1:42" ht="21" customHeight="1">
      <c r="A6" s="612"/>
      <c r="B6" s="612"/>
      <c r="C6" s="3586"/>
      <c r="D6" s="3586"/>
      <c r="E6" s="3586"/>
      <c r="F6" s="3586"/>
      <c r="G6" s="3586"/>
      <c r="H6" s="3586"/>
      <c r="I6" s="3586"/>
      <c r="J6" s="3586"/>
      <c r="K6" s="3586"/>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c r="AN6" s="186"/>
      <c r="AO6" s="298"/>
      <c r="AP6" s="298"/>
    </row>
    <row r="7" spans="1:42" ht="21" customHeight="1" thickBot="1">
      <c r="A7" s="612"/>
      <c r="B7" s="612"/>
      <c r="C7" s="612"/>
      <c r="D7" s="665"/>
      <c r="E7" s="612"/>
      <c r="F7" s="612"/>
      <c r="G7" s="612"/>
      <c r="H7" s="612"/>
      <c r="I7" s="612"/>
      <c r="J7" s="612"/>
      <c r="K7" s="612"/>
      <c r="L7" s="612"/>
      <c r="M7" s="612"/>
      <c r="N7" s="612"/>
      <c r="O7" s="612"/>
      <c r="P7" s="612"/>
      <c r="Q7" s="612"/>
      <c r="R7" s="612"/>
      <c r="S7" s="612"/>
      <c r="T7" s="612"/>
      <c r="U7" s="612"/>
      <c r="V7" s="612"/>
      <c r="W7" s="612"/>
      <c r="X7" s="612"/>
      <c r="Y7" s="612"/>
      <c r="Z7" s="612"/>
      <c r="AA7" s="612"/>
      <c r="AB7" s="612"/>
      <c r="AC7" s="612"/>
      <c r="AD7" s="612"/>
      <c r="AE7" s="612"/>
      <c r="AF7" s="612"/>
      <c r="AG7" s="612"/>
      <c r="AH7" s="612"/>
      <c r="AI7" s="612"/>
      <c r="AJ7" s="612"/>
      <c r="AK7" s="612"/>
      <c r="AL7" s="612"/>
      <c r="AN7" s="186"/>
      <c r="AO7" s="298"/>
      <c r="AP7" s="298"/>
    </row>
    <row r="8" spans="1:42" s="1070" customFormat="1" ht="15.75" customHeight="1" thickBot="1">
      <c r="A8" s="3534" t="s">
        <v>1</v>
      </c>
      <c r="B8" s="3532" t="s">
        <v>286</v>
      </c>
      <c r="C8" s="3558" t="s">
        <v>270</v>
      </c>
      <c r="D8" s="3558"/>
      <c r="E8" s="3558"/>
      <c r="F8" s="3558"/>
      <c r="G8" s="3558"/>
      <c r="H8" s="3558"/>
      <c r="I8" s="3558"/>
      <c r="J8" s="3558"/>
      <c r="K8" s="3558"/>
      <c r="L8" s="3558"/>
      <c r="M8" s="3558"/>
      <c r="N8" s="3558"/>
      <c r="O8" s="3558" t="s">
        <v>271</v>
      </c>
      <c r="P8" s="3558"/>
      <c r="Q8" s="3558"/>
      <c r="R8" s="3558"/>
      <c r="S8" s="3558"/>
      <c r="T8" s="3558"/>
      <c r="U8" s="3558"/>
      <c r="V8" s="3558"/>
      <c r="W8" s="3558"/>
      <c r="X8" s="3558"/>
      <c r="Y8" s="3558"/>
      <c r="Z8" s="3558"/>
      <c r="AA8" s="3558" t="s">
        <v>272</v>
      </c>
      <c r="AB8" s="3558"/>
      <c r="AC8" s="3558"/>
      <c r="AD8" s="3558"/>
      <c r="AE8" s="3558"/>
      <c r="AF8" s="3558"/>
      <c r="AG8" s="3558"/>
      <c r="AH8" s="3558"/>
      <c r="AI8" s="3558"/>
      <c r="AJ8" s="3558"/>
      <c r="AK8" s="3558"/>
      <c r="AL8" s="3558"/>
      <c r="AM8" s="366"/>
      <c r="AN8" s="1068"/>
      <c r="AO8" s="1069"/>
      <c r="AP8" s="1069"/>
    </row>
    <row r="9" spans="1:42" s="1070" customFormat="1">
      <c r="A9" s="3581"/>
      <c r="B9" s="3579"/>
      <c r="C9" s="2080" t="str">
        <f>'Приложение '!$G12</f>
        <v>2015 г.</v>
      </c>
      <c r="D9" s="2082" t="str">
        <f>'Приложение '!$G13</f>
        <v>2016 г.</v>
      </c>
      <c r="E9" s="3574" t="str">
        <f>'Приложение '!$G14</f>
        <v>2017 г.</v>
      </c>
      <c r="F9" s="3575"/>
      <c r="G9" s="3576" t="str">
        <f>'Приложение '!$G15</f>
        <v>2018 г.</v>
      </c>
      <c r="H9" s="3577"/>
      <c r="I9" s="3574" t="str">
        <f>'Приложение '!$G16</f>
        <v>2019 г.</v>
      </c>
      <c r="J9" s="3575"/>
      <c r="K9" s="3576" t="str">
        <f>'Приложение '!$G17</f>
        <v>2020 г.</v>
      </c>
      <c r="L9" s="3577"/>
      <c r="M9" s="3574" t="str">
        <f>'Приложение '!$G18</f>
        <v>2021 г.</v>
      </c>
      <c r="N9" s="3578"/>
      <c r="O9" s="2080" t="str">
        <f>'Приложение '!$G12</f>
        <v>2015 г.</v>
      </c>
      <c r="P9" s="2466" t="str">
        <f>'Приложение '!$G13</f>
        <v>2016 г.</v>
      </c>
      <c r="Q9" s="3574" t="str">
        <f>'Приложение '!$G14</f>
        <v>2017 г.</v>
      </c>
      <c r="R9" s="3575"/>
      <c r="S9" s="3574" t="str">
        <f>'Приложение '!$G15</f>
        <v>2018 г.</v>
      </c>
      <c r="T9" s="3575"/>
      <c r="U9" s="3576" t="str">
        <f>'Приложение '!$G16</f>
        <v>2019 г.</v>
      </c>
      <c r="V9" s="3577"/>
      <c r="W9" s="3574" t="str">
        <f>'Приложение '!$G17</f>
        <v>2020 г.</v>
      </c>
      <c r="X9" s="3575"/>
      <c r="Y9" s="3576" t="str">
        <f>'Приложение '!$G18</f>
        <v>2021 г.</v>
      </c>
      <c r="Z9" s="3583"/>
      <c r="AA9" s="2080" t="str">
        <f>'Приложение '!$G12</f>
        <v>2015 г.</v>
      </c>
      <c r="AB9" s="2082" t="str">
        <f>'Приложение '!$G13</f>
        <v>2016 г.</v>
      </c>
      <c r="AC9" s="3574" t="str">
        <f>'Приложение '!$G14</f>
        <v>2017 г.</v>
      </c>
      <c r="AD9" s="3575"/>
      <c r="AE9" s="3576" t="str">
        <f>'Приложение '!$G15</f>
        <v>2018 г.</v>
      </c>
      <c r="AF9" s="3577"/>
      <c r="AG9" s="3574" t="str">
        <f>'Приложение '!$G16</f>
        <v>2019 г.</v>
      </c>
      <c r="AH9" s="3575"/>
      <c r="AI9" s="3576" t="str">
        <f>'Приложение '!$G17</f>
        <v>2020 г.</v>
      </c>
      <c r="AJ9" s="3577"/>
      <c r="AK9" s="3574" t="str">
        <f>'Приложение '!$G18</f>
        <v>2021 г.</v>
      </c>
      <c r="AL9" s="3578"/>
      <c r="AM9" s="366"/>
      <c r="AN9" s="1068"/>
      <c r="AO9" s="1069"/>
      <c r="AP9" s="1069"/>
    </row>
    <row r="10" spans="1:42" s="339" customFormat="1" ht="25.5" customHeight="1" thickBot="1">
      <c r="A10" s="3582"/>
      <c r="B10" s="3580"/>
      <c r="C10" s="2081"/>
      <c r="D10" s="2083" t="s">
        <v>263</v>
      </c>
      <c r="E10" s="2084" t="s">
        <v>1212</v>
      </c>
      <c r="F10" s="2079" t="s">
        <v>1213</v>
      </c>
      <c r="G10" s="2459" t="s">
        <v>1212</v>
      </c>
      <c r="H10" s="2462" t="s">
        <v>1213</v>
      </c>
      <c r="I10" s="2084" t="s">
        <v>1212</v>
      </c>
      <c r="J10" s="2079" t="s">
        <v>1213</v>
      </c>
      <c r="K10" s="2459" t="s">
        <v>1212</v>
      </c>
      <c r="L10" s="2462" t="s">
        <v>1213</v>
      </c>
      <c r="M10" s="2084" t="s">
        <v>1212</v>
      </c>
      <c r="N10" s="2079" t="s">
        <v>1213</v>
      </c>
      <c r="O10" s="2081"/>
      <c r="P10" s="2081" t="s">
        <v>263</v>
      </c>
      <c r="Q10" s="2084" t="s">
        <v>1212</v>
      </c>
      <c r="R10" s="2079" t="s">
        <v>1213</v>
      </c>
      <c r="S10" s="2084" t="s">
        <v>1212</v>
      </c>
      <c r="T10" s="2079" t="s">
        <v>1213</v>
      </c>
      <c r="U10" s="2459" t="s">
        <v>1212</v>
      </c>
      <c r="V10" s="2462" t="s">
        <v>1213</v>
      </c>
      <c r="W10" s="2084" t="s">
        <v>1212</v>
      </c>
      <c r="X10" s="2079" t="s">
        <v>1213</v>
      </c>
      <c r="Y10" s="2459" t="s">
        <v>1212</v>
      </c>
      <c r="Z10" s="2462" t="s">
        <v>1213</v>
      </c>
      <c r="AA10" s="2081"/>
      <c r="AB10" s="2083" t="s">
        <v>263</v>
      </c>
      <c r="AC10" s="2084" t="s">
        <v>1212</v>
      </c>
      <c r="AD10" s="2079" t="s">
        <v>1213</v>
      </c>
      <c r="AE10" s="2459" t="s">
        <v>1212</v>
      </c>
      <c r="AF10" s="2462" t="s">
        <v>1213</v>
      </c>
      <c r="AG10" s="2084" t="s">
        <v>1212</v>
      </c>
      <c r="AH10" s="2079" t="s">
        <v>1213</v>
      </c>
      <c r="AI10" s="2459" t="s">
        <v>1212</v>
      </c>
      <c r="AJ10" s="2462" t="s">
        <v>1213</v>
      </c>
      <c r="AK10" s="2084" t="s">
        <v>1212</v>
      </c>
      <c r="AL10" s="2079" t="s">
        <v>1213</v>
      </c>
      <c r="AM10" s="353"/>
      <c r="AN10" s="186"/>
      <c r="AO10" s="298"/>
      <c r="AP10" s="298"/>
    </row>
    <row r="11" spans="1:42" ht="15.75" thickBot="1">
      <c r="A11" s="1025" t="s">
        <v>193</v>
      </c>
      <c r="B11" s="1026" t="s">
        <v>289</v>
      </c>
      <c r="C11" s="2449">
        <f>SUM(C12:C27)-C12-C18-C24</f>
        <v>2898</v>
      </c>
      <c r="D11" s="2453">
        <f t="shared" ref="D11:AA11" si="0">SUM(D12:D27)-D12-D18-D24</f>
        <v>3046</v>
      </c>
      <c r="E11" s="2450">
        <f t="shared" si="0"/>
        <v>2</v>
      </c>
      <c r="F11" s="2451">
        <f t="shared" si="0"/>
        <v>-24</v>
      </c>
      <c r="G11" s="2452">
        <f t="shared" si="0"/>
        <v>2</v>
      </c>
      <c r="H11" s="2463">
        <f t="shared" si="0"/>
        <v>-24</v>
      </c>
      <c r="I11" s="2450">
        <f t="shared" si="0"/>
        <v>25</v>
      </c>
      <c r="J11" s="2451">
        <f t="shared" si="0"/>
        <v>-24</v>
      </c>
      <c r="K11" s="2452">
        <f t="shared" si="0"/>
        <v>2</v>
      </c>
      <c r="L11" s="2463">
        <f t="shared" si="0"/>
        <v>-24</v>
      </c>
      <c r="M11" s="2450">
        <f t="shared" si="0"/>
        <v>2</v>
      </c>
      <c r="N11" s="2451">
        <f t="shared" si="0"/>
        <v>-24</v>
      </c>
      <c r="O11" s="2449">
        <f t="shared" si="0"/>
        <v>73</v>
      </c>
      <c r="P11" s="2449">
        <f t="shared" ref="P11" si="1">SUM(P12:P27)-P12-P18-P24</f>
        <v>84</v>
      </c>
      <c r="Q11" s="2450">
        <f t="shared" ref="Q11:Z11" si="2">SUM(Q12:Q27)-Q12-Q18-Q24</f>
        <v>3.5</v>
      </c>
      <c r="R11" s="2451">
        <f t="shared" si="2"/>
        <v>0</v>
      </c>
      <c r="S11" s="2450">
        <f t="shared" si="2"/>
        <v>3.5</v>
      </c>
      <c r="T11" s="2451">
        <f t="shared" si="2"/>
        <v>0</v>
      </c>
      <c r="U11" s="2452">
        <f t="shared" si="2"/>
        <v>4</v>
      </c>
      <c r="V11" s="2463">
        <f t="shared" si="2"/>
        <v>0</v>
      </c>
      <c r="W11" s="2450">
        <f t="shared" si="2"/>
        <v>3.5</v>
      </c>
      <c r="X11" s="2451">
        <f t="shared" si="2"/>
        <v>0</v>
      </c>
      <c r="Y11" s="2452">
        <f t="shared" si="2"/>
        <v>3.5</v>
      </c>
      <c r="Z11" s="2463">
        <f t="shared" si="2"/>
        <v>0</v>
      </c>
      <c r="AA11" s="2449">
        <f t="shared" si="0"/>
        <v>435</v>
      </c>
      <c r="AB11" s="2468">
        <f t="shared" ref="AB11" si="3">SUM(AB12:AB27)-AB12-AB18-AB24</f>
        <v>442</v>
      </c>
      <c r="AC11" s="2450">
        <f t="shared" ref="AC11:AL11" si="4">SUM(AC12:AC27)-AC12-AC18-AC24</f>
        <v>63</v>
      </c>
      <c r="AD11" s="2451">
        <f t="shared" si="4"/>
        <v>0</v>
      </c>
      <c r="AE11" s="2452">
        <f t="shared" si="4"/>
        <v>116</v>
      </c>
      <c r="AF11" s="2463">
        <f t="shared" si="4"/>
        <v>0</v>
      </c>
      <c r="AG11" s="2450">
        <f t="shared" si="4"/>
        <v>81</v>
      </c>
      <c r="AH11" s="2451">
        <f t="shared" si="4"/>
        <v>0</v>
      </c>
      <c r="AI11" s="2452">
        <f t="shared" si="4"/>
        <v>81</v>
      </c>
      <c r="AJ11" s="2463">
        <f t="shared" si="4"/>
        <v>0</v>
      </c>
      <c r="AK11" s="2450">
        <f t="shared" si="4"/>
        <v>81</v>
      </c>
      <c r="AL11" s="2451">
        <f t="shared" si="4"/>
        <v>0</v>
      </c>
      <c r="AN11" s="186"/>
      <c r="AO11" s="298"/>
      <c r="AP11" s="298"/>
    </row>
    <row r="12" spans="1:42">
      <c r="A12" s="1031" t="s">
        <v>98</v>
      </c>
      <c r="B12" s="1032" t="s">
        <v>290</v>
      </c>
      <c r="C12" s="2454">
        <f>SUM(C13:C16)</f>
        <v>48</v>
      </c>
      <c r="D12" s="2455">
        <f t="shared" ref="D12:AL12" si="5">SUM(D13:D16)</f>
        <v>83</v>
      </c>
      <c r="E12" s="1033">
        <f>SUM(E13:E16)</f>
        <v>2</v>
      </c>
      <c r="F12" s="1034">
        <f t="shared" si="5"/>
        <v>0</v>
      </c>
      <c r="G12" s="2460">
        <f t="shared" si="5"/>
        <v>2</v>
      </c>
      <c r="H12" s="2464">
        <f t="shared" si="5"/>
        <v>0</v>
      </c>
      <c r="I12" s="1033">
        <f t="shared" si="5"/>
        <v>2</v>
      </c>
      <c r="J12" s="1034">
        <f t="shared" si="5"/>
        <v>0</v>
      </c>
      <c r="K12" s="2460">
        <f t="shared" si="5"/>
        <v>2</v>
      </c>
      <c r="L12" s="2464">
        <f t="shared" si="5"/>
        <v>0</v>
      </c>
      <c r="M12" s="1033">
        <f t="shared" si="5"/>
        <v>2</v>
      </c>
      <c r="N12" s="1034">
        <f t="shared" si="5"/>
        <v>0</v>
      </c>
      <c r="O12" s="2454">
        <f t="shared" si="5"/>
        <v>0</v>
      </c>
      <c r="P12" s="2467">
        <f t="shared" si="5"/>
        <v>0</v>
      </c>
      <c r="Q12" s="1033">
        <f t="shared" si="5"/>
        <v>0</v>
      </c>
      <c r="R12" s="1034">
        <f t="shared" si="5"/>
        <v>0</v>
      </c>
      <c r="S12" s="1033">
        <f t="shared" si="5"/>
        <v>0</v>
      </c>
      <c r="T12" s="1034">
        <f t="shared" si="5"/>
        <v>0</v>
      </c>
      <c r="U12" s="2460">
        <f t="shared" si="5"/>
        <v>0</v>
      </c>
      <c r="V12" s="2464">
        <f t="shared" si="5"/>
        <v>0</v>
      </c>
      <c r="W12" s="1033">
        <f t="shared" si="5"/>
        <v>0</v>
      </c>
      <c r="X12" s="1034">
        <f t="shared" si="5"/>
        <v>0</v>
      </c>
      <c r="Y12" s="2460">
        <f t="shared" si="5"/>
        <v>0</v>
      </c>
      <c r="Z12" s="2464">
        <f t="shared" si="5"/>
        <v>0</v>
      </c>
      <c r="AA12" s="2454">
        <f>SUM(AA13:AA16)</f>
        <v>13</v>
      </c>
      <c r="AB12" s="2469">
        <f t="shared" si="5"/>
        <v>13</v>
      </c>
      <c r="AC12" s="1033">
        <f t="shared" si="5"/>
        <v>15</v>
      </c>
      <c r="AD12" s="1034">
        <f t="shared" si="5"/>
        <v>0</v>
      </c>
      <c r="AE12" s="2460">
        <f t="shared" si="5"/>
        <v>18</v>
      </c>
      <c r="AF12" s="2464">
        <f t="shared" si="5"/>
        <v>0</v>
      </c>
      <c r="AG12" s="1033">
        <f t="shared" si="5"/>
        <v>18</v>
      </c>
      <c r="AH12" s="1034">
        <f t="shared" si="5"/>
        <v>0</v>
      </c>
      <c r="AI12" s="2460">
        <f t="shared" si="5"/>
        <v>18</v>
      </c>
      <c r="AJ12" s="2464">
        <f t="shared" si="5"/>
        <v>0</v>
      </c>
      <c r="AK12" s="1033">
        <f t="shared" si="5"/>
        <v>18</v>
      </c>
      <c r="AL12" s="1034">
        <f t="shared" si="5"/>
        <v>0</v>
      </c>
      <c r="AN12" s="186"/>
      <c r="AO12" s="298"/>
      <c r="AP12" s="298"/>
    </row>
    <row r="13" spans="1:42">
      <c r="A13" s="1031" t="s">
        <v>484</v>
      </c>
      <c r="B13" s="1042" t="s">
        <v>291</v>
      </c>
      <c r="C13" s="2246">
        <v>48</v>
      </c>
      <c r="D13" s="2456">
        <v>83</v>
      </c>
      <c r="E13" s="781">
        <v>2</v>
      </c>
      <c r="F13" s="791">
        <v>0</v>
      </c>
      <c r="G13" s="795">
        <v>2</v>
      </c>
      <c r="H13" s="2420">
        <v>0</v>
      </c>
      <c r="I13" s="781">
        <v>2</v>
      </c>
      <c r="J13" s="791">
        <v>0</v>
      </c>
      <c r="K13" s="795">
        <v>2</v>
      </c>
      <c r="L13" s="2420">
        <v>0</v>
      </c>
      <c r="M13" s="781">
        <v>2</v>
      </c>
      <c r="N13" s="791">
        <v>0</v>
      </c>
      <c r="O13" s="791">
        <v>0</v>
      </c>
      <c r="P13" s="791">
        <v>0</v>
      </c>
      <c r="Q13" s="791">
        <v>0</v>
      </c>
      <c r="R13" s="791">
        <v>0</v>
      </c>
      <c r="S13" s="791">
        <v>0</v>
      </c>
      <c r="T13" s="791">
        <v>0</v>
      </c>
      <c r="U13" s="791">
        <v>0</v>
      </c>
      <c r="V13" s="791">
        <v>0</v>
      </c>
      <c r="W13" s="791">
        <v>0</v>
      </c>
      <c r="X13" s="791">
        <v>0</v>
      </c>
      <c r="Y13" s="791">
        <v>0</v>
      </c>
      <c r="Z13" s="791">
        <v>0</v>
      </c>
      <c r="AA13" s="791">
        <v>0</v>
      </c>
      <c r="AB13" s="2456">
        <v>4</v>
      </c>
      <c r="AC13" s="781">
        <v>0</v>
      </c>
      <c r="AD13" s="791">
        <v>0</v>
      </c>
      <c r="AE13" s="791">
        <v>0</v>
      </c>
      <c r="AF13" s="791">
        <v>0</v>
      </c>
      <c r="AG13" s="791">
        <v>0</v>
      </c>
      <c r="AH13" s="791">
        <v>0</v>
      </c>
      <c r="AI13" s="791">
        <v>0</v>
      </c>
      <c r="AJ13" s="791">
        <v>0</v>
      </c>
      <c r="AK13" s="791">
        <v>0</v>
      </c>
      <c r="AL13" s="791">
        <v>0</v>
      </c>
      <c r="AN13" s="186"/>
      <c r="AO13" s="298"/>
      <c r="AP13" s="298"/>
    </row>
    <row r="14" spans="1:42">
      <c r="A14" s="1031" t="s">
        <v>485</v>
      </c>
      <c r="B14" s="1035" t="s">
        <v>292</v>
      </c>
      <c r="C14" s="2246">
        <v>0</v>
      </c>
      <c r="D14" s="2246">
        <v>0</v>
      </c>
      <c r="E14" s="2246">
        <v>0</v>
      </c>
      <c r="F14" s="2246">
        <v>0</v>
      </c>
      <c r="G14" s="2246">
        <v>0</v>
      </c>
      <c r="H14" s="2246">
        <v>0</v>
      </c>
      <c r="I14" s="2246">
        <v>0</v>
      </c>
      <c r="J14" s="2246">
        <v>0</v>
      </c>
      <c r="K14" s="2246">
        <v>0</v>
      </c>
      <c r="L14" s="2246">
        <v>0</v>
      </c>
      <c r="M14" s="781">
        <v>0</v>
      </c>
      <c r="N14" s="791">
        <v>0</v>
      </c>
      <c r="O14" s="791">
        <v>0</v>
      </c>
      <c r="P14" s="791">
        <v>0</v>
      </c>
      <c r="Q14" s="791">
        <v>0</v>
      </c>
      <c r="R14" s="791">
        <v>0</v>
      </c>
      <c r="S14" s="791">
        <v>0</v>
      </c>
      <c r="T14" s="791">
        <v>0</v>
      </c>
      <c r="U14" s="791">
        <v>0</v>
      </c>
      <c r="V14" s="791">
        <v>0</v>
      </c>
      <c r="W14" s="791">
        <v>0</v>
      </c>
      <c r="X14" s="791">
        <v>0</v>
      </c>
      <c r="Y14" s="791">
        <v>0</v>
      </c>
      <c r="Z14" s="791">
        <v>0</v>
      </c>
      <c r="AA14" s="791">
        <v>0</v>
      </c>
      <c r="AB14" s="2456">
        <v>0</v>
      </c>
      <c r="AC14" s="781">
        <v>0</v>
      </c>
      <c r="AD14" s="791">
        <v>0</v>
      </c>
      <c r="AE14" s="791">
        <v>0</v>
      </c>
      <c r="AF14" s="791">
        <v>0</v>
      </c>
      <c r="AG14" s="791">
        <v>0</v>
      </c>
      <c r="AH14" s="791">
        <v>0</v>
      </c>
      <c r="AI14" s="791">
        <v>0</v>
      </c>
      <c r="AJ14" s="791">
        <v>0</v>
      </c>
      <c r="AK14" s="791">
        <v>0</v>
      </c>
      <c r="AL14" s="791">
        <v>0</v>
      </c>
      <c r="AN14" s="186"/>
      <c r="AO14" s="298"/>
      <c r="AP14" s="298"/>
    </row>
    <row r="15" spans="1:42">
      <c r="A15" s="1031" t="s">
        <v>486</v>
      </c>
      <c r="B15" s="1035" t="s">
        <v>293</v>
      </c>
      <c r="C15" s="2246">
        <v>0</v>
      </c>
      <c r="D15" s="2246">
        <v>0</v>
      </c>
      <c r="E15" s="2246">
        <v>0</v>
      </c>
      <c r="F15" s="2246">
        <v>0</v>
      </c>
      <c r="G15" s="2246">
        <v>0</v>
      </c>
      <c r="H15" s="2246">
        <v>0</v>
      </c>
      <c r="I15" s="2246">
        <v>0</v>
      </c>
      <c r="J15" s="2246">
        <v>0</v>
      </c>
      <c r="K15" s="2246">
        <v>0</v>
      </c>
      <c r="L15" s="2246">
        <v>0</v>
      </c>
      <c r="M15" s="781">
        <v>0</v>
      </c>
      <c r="N15" s="791">
        <v>0</v>
      </c>
      <c r="O15" s="791">
        <v>0</v>
      </c>
      <c r="P15" s="791">
        <v>0</v>
      </c>
      <c r="Q15" s="791">
        <v>0</v>
      </c>
      <c r="R15" s="791">
        <v>0</v>
      </c>
      <c r="S15" s="791">
        <v>0</v>
      </c>
      <c r="T15" s="791">
        <v>0</v>
      </c>
      <c r="U15" s="791">
        <v>0</v>
      </c>
      <c r="V15" s="791">
        <v>0</v>
      </c>
      <c r="W15" s="791">
        <v>0</v>
      </c>
      <c r="X15" s="791">
        <v>0</v>
      </c>
      <c r="Y15" s="795">
        <v>0</v>
      </c>
      <c r="Z15" s="2420">
        <v>0</v>
      </c>
      <c r="AA15" s="2246">
        <v>4</v>
      </c>
      <c r="AB15" s="2456">
        <v>0</v>
      </c>
      <c r="AC15" s="781">
        <v>0</v>
      </c>
      <c r="AD15" s="791">
        <v>0</v>
      </c>
      <c r="AE15" s="795">
        <v>3</v>
      </c>
      <c r="AF15" s="791">
        <v>0</v>
      </c>
      <c r="AG15" s="781">
        <v>3</v>
      </c>
      <c r="AH15" s="791">
        <v>0</v>
      </c>
      <c r="AI15" s="795">
        <v>3</v>
      </c>
      <c r="AJ15" s="791">
        <v>0</v>
      </c>
      <c r="AK15" s="781">
        <v>3</v>
      </c>
      <c r="AL15" s="791">
        <v>0</v>
      </c>
      <c r="AN15" s="186"/>
      <c r="AO15" s="298"/>
      <c r="AP15" s="298"/>
    </row>
    <row r="16" spans="1:42">
      <c r="A16" s="1031" t="s">
        <v>487</v>
      </c>
      <c r="B16" s="1035" t="s">
        <v>294</v>
      </c>
      <c r="C16" s="2246">
        <v>0</v>
      </c>
      <c r="D16" s="2246">
        <v>0</v>
      </c>
      <c r="E16" s="2246">
        <v>0</v>
      </c>
      <c r="F16" s="2246">
        <v>0</v>
      </c>
      <c r="G16" s="2246">
        <v>0</v>
      </c>
      <c r="H16" s="2246">
        <v>0</v>
      </c>
      <c r="I16" s="2246">
        <v>0</v>
      </c>
      <c r="J16" s="2246">
        <v>0</v>
      </c>
      <c r="K16" s="2246">
        <v>0</v>
      </c>
      <c r="L16" s="2246">
        <v>0</v>
      </c>
      <c r="M16" s="781">
        <v>0</v>
      </c>
      <c r="N16" s="781">
        <v>0</v>
      </c>
      <c r="O16" s="781">
        <v>0</v>
      </c>
      <c r="P16" s="781">
        <v>0</v>
      </c>
      <c r="Q16" s="781">
        <v>0</v>
      </c>
      <c r="R16" s="781">
        <v>0</v>
      </c>
      <c r="S16" s="781">
        <v>0</v>
      </c>
      <c r="T16" s="781">
        <v>0</v>
      </c>
      <c r="U16" s="781">
        <v>0</v>
      </c>
      <c r="V16" s="781">
        <v>0</v>
      </c>
      <c r="W16" s="781">
        <v>0</v>
      </c>
      <c r="X16" s="791">
        <v>0</v>
      </c>
      <c r="Y16" s="795">
        <v>0</v>
      </c>
      <c r="Z16" s="2420">
        <v>0</v>
      </c>
      <c r="AA16" s="2246">
        <v>9</v>
      </c>
      <c r="AB16" s="2456">
        <v>9</v>
      </c>
      <c r="AC16" s="781">
        <v>15</v>
      </c>
      <c r="AD16" s="791">
        <v>0</v>
      </c>
      <c r="AE16" s="795">
        <v>15</v>
      </c>
      <c r="AF16" s="791">
        <v>0</v>
      </c>
      <c r="AG16" s="781">
        <v>15</v>
      </c>
      <c r="AH16" s="791">
        <v>0</v>
      </c>
      <c r="AI16" s="795">
        <v>15</v>
      </c>
      <c r="AJ16" s="791">
        <v>0</v>
      </c>
      <c r="AK16" s="781">
        <v>15</v>
      </c>
      <c r="AL16" s="791">
        <v>0</v>
      </c>
      <c r="AN16" s="186"/>
      <c r="AO16" s="298"/>
      <c r="AP16" s="298"/>
    </row>
    <row r="17" spans="1:42">
      <c r="A17" s="1031" t="s">
        <v>99</v>
      </c>
      <c r="B17" s="1036" t="s">
        <v>295</v>
      </c>
      <c r="C17" s="2246">
        <v>1666</v>
      </c>
      <c r="D17" s="2456">
        <v>1662</v>
      </c>
      <c r="E17" s="781">
        <v>0</v>
      </c>
      <c r="F17" s="791">
        <v>-24</v>
      </c>
      <c r="G17" s="795">
        <v>0</v>
      </c>
      <c r="H17" s="2420">
        <v>-24</v>
      </c>
      <c r="I17" s="781">
        <v>0</v>
      </c>
      <c r="J17" s="791">
        <v>-24</v>
      </c>
      <c r="K17" s="795"/>
      <c r="L17" s="2420">
        <v>-24</v>
      </c>
      <c r="M17" s="781">
        <v>0</v>
      </c>
      <c r="N17" s="791">
        <v>-24</v>
      </c>
      <c r="O17" s="2246">
        <v>24</v>
      </c>
      <c r="P17" s="2246">
        <v>32</v>
      </c>
      <c r="Q17" s="781">
        <v>3.5</v>
      </c>
      <c r="R17" s="791">
        <v>0</v>
      </c>
      <c r="S17" s="781">
        <v>3.5</v>
      </c>
      <c r="T17" s="791">
        <v>0</v>
      </c>
      <c r="U17" s="795">
        <v>4</v>
      </c>
      <c r="V17" s="2420">
        <v>0</v>
      </c>
      <c r="W17" s="781">
        <v>3.5</v>
      </c>
      <c r="X17" s="791">
        <v>0</v>
      </c>
      <c r="Y17" s="795">
        <v>3.5</v>
      </c>
      <c r="Z17" s="2420">
        <v>0</v>
      </c>
      <c r="AA17" s="2246">
        <v>367</v>
      </c>
      <c r="AB17" s="2456">
        <v>340</v>
      </c>
      <c r="AC17" s="781">
        <v>48</v>
      </c>
      <c r="AD17" s="791">
        <v>0</v>
      </c>
      <c r="AE17" s="795">
        <v>48</v>
      </c>
      <c r="AF17" s="791">
        <v>0</v>
      </c>
      <c r="AG17" s="781">
        <v>48</v>
      </c>
      <c r="AH17" s="791">
        <v>0</v>
      </c>
      <c r="AI17" s="795">
        <v>48</v>
      </c>
      <c r="AJ17" s="791">
        <v>0</v>
      </c>
      <c r="AK17" s="781">
        <v>48</v>
      </c>
      <c r="AL17" s="791">
        <v>0</v>
      </c>
      <c r="AN17" s="186"/>
      <c r="AO17" s="298"/>
      <c r="AP17" s="298"/>
    </row>
    <row r="18" spans="1:42">
      <c r="A18" s="1037" t="s">
        <v>101</v>
      </c>
      <c r="B18" s="1038" t="s">
        <v>296</v>
      </c>
      <c r="C18" s="1039">
        <f>SUM(C19:C20)</f>
        <v>369</v>
      </c>
      <c r="D18" s="2457">
        <f t="shared" ref="D18:N18" si="6">SUM(D19:D20)</f>
        <v>433</v>
      </c>
      <c r="E18" s="1040">
        <f t="shared" si="6"/>
        <v>0</v>
      </c>
      <c r="F18" s="1041">
        <f t="shared" si="6"/>
        <v>0</v>
      </c>
      <c r="G18" s="2461">
        <f t="shared" si="6"/>
        <v>0</v>
      </c>
      <c r="H18" s="2465">
        <f t="shared" si="6"/>
        <v>0</v>
      </c>
      <c r="I18" s="1040">
        <f t="shared" si="6"/>
        <v>23</v>
      </c>
      <c r="J18" s="1041">
        <f t="shared" si="6"/>
        <v>0</v>
      </c>
      <c r="K18" s="2461">
        <f t="shared" si="6"/>
        <v>0</v>
      </c>
      <c r="L18" s="2465">
        <f t="shared" si="6"/>
        <v>0</v>
      </c>
      <c r="M18" s="1040">
        <f t="shared" si="6"/>
        <v>0</v>
      </c>
      <c r="N18" s="1041">
        <f t="shared" si="6"/>
        <v>0</v>
      </c>
      <c r="O18" s="1039">
        <f>SUM(O19:O20)</f>
        <v>27</v>
      </c>
      <c r="P18" s="1039">
        <f t="shared" ref="P18:Z18" si="7">SUM(P19:P20)</f>
        <v>29</v>
      </c>
      <c r="Q18" s="1040">
        <f t="shared" si="7"/>
        <v>0</v>
      </c>
      <c r="R18" s="1041">
        <f t="shared" si="7"/>
        <v>0</v>
      </c>
      <c r="S18" s="1040">
        <f t="shared" si="7"/>
        <v>0</v>
      </c>
      <c r="T18" s="1041">
        <f t="shared" si="7"/>
        <v>0</v>
      </c>
      <c r="U18" s="2461">
        <f t="shared" si="7"/>
        <v>0</v>
      </c>
      <c r="V18" s="2465">
        <f t="shared" si="7"/>
        <v>0</v>
      </c>
      <c r="W18" s="1040">
        <f t="shared" si="7"/>
        <v>0</v>
      </c>
      <c r="X18" s="1041">
        <f t="shared" si="7"/>
        <v>0</v>
      </c>
      <c r="Y18" s="2461">
        <f t="shared" si="7"/>
        <v>0</v>
      </c>
      <c r="Z18" s="2465">
        <f t="shared" si="7"/>
        <v>0</v>
      </c>
      <c r="AA18" s="1039">
        <f>SUM(AA19:AA20)</f>
        <v>17</v>
      </c>
      <c r="AB18" s="2457">
        <f t="shared" ref="AB18:AL18" si="8">SUM(AB19:AB20)</f>
        <v>15</v>
      </c>
      <c r="AC18" s="1040">
        <f t="shared" si="8"/>
        <v>0</v>
      </c>
      <c r="AD18" s="1041">
        <f t="shared" si="8"/>
        <v>0</v>
      </c>
      <c r="AE18" s="2461">
        <f t="shared" si="8"/>
        <v>15</v>
      </c>
      <c r="AF18" s="2465">
        <f t="shared" si="8"/>
        <v>0</v>
      </c>
      <c r="AG18" s="1040">
        <f t="shared" si="8"/>
        <v>15</v>
      </c>
      <c r="AH18" s="1041">
        <f t="shared" si="8"/>
        <v>0</v>
      </c>
      <c r="AI18" s="2461">
        <f t="shared" si="8"/>
        <v>15</v>
      </c>
      <c r="AJ18" s="2465">
        <f t="shared" si="8"/>
        <v>0</v>
      </c>
      <c r="AK18" s="1040">
        <f t="shared" si="8"/>
        <v>15</v>
      </c>
      <c r="AL18" s="1041">
        <f t="shared" si="8"/>
        <v>0</v>
      </c>
      <c r="AN18" s="186"/>
      <c r="AO18" s="298"/>
      <c r="AP18" s="298"/>
    </row>
    <row r="19" spans="1:42">
      <c r="A19" s="1037" t="s">
        <v>297</v>
      </c>
      <c r="B19" s="1042" t="s">
        <v>298</v>
      </c>
      <c r="C19" s="2246">
        <v>26</v>
      </c>
      <c r="D19" s="2456">
        <v>19</v>
      </c>
      <c r="E19" s="781">
        <v>0</v>
      </c>
      <c r="F19" s="781">
        <v>0</v>
      </c>
      <c r="G19" s="781">
        <v>0</v>
      </c>
      <c r="H19" s="781">
        <v>0</v>
      </c>
      <c r="I19" s="781">
        <v>0</v>
      </c>
      <c r="J19" s="791">
        <v>0</v>
      </c>
      <c r="K19" s="791">
        <v>0</v>
      </c>
      <c r="L19" s="791">
        <v>0</v>
      </c>
      <c r="M19" s="791">
        <v>0</v>
      </c>
      <c r="N19" s="791">
        <v>0</v>
      </c>
      <c r="O19" s="2246">
        <v>0</v>
      </c>
      <c r="P19" s="2246">
        <v>0</v>
      </c>
      <c r="Q19" s="781">
        <v>0</v>
      </c>
      <c r="R19" s="781">
        <v>0</v>
      </c>
      <c r="S19" s="781">
        <v>0</v>
      </c>
      <c r="T19" s="781">
        <v>0</v>
      </c>
      <c r="U19" s="781">
        <v>0</v>
      </c>
      <c r="V19" s="781">
        <v>0</v>
      </c>
      <c r="W19" s="781">
        <v>0</v>
      </c>
      <c r="X19" s="781">
        <v>0</v>
      </c>
      <c r="Y19" s="781">
        <v>0</v>
      </c>
      <c r="Z19" s="781">
        <v>0</v>
      </c>
      <c r="AA19" s="2246">
        <v>4</v>
      </c>
      <c r="AB19" s="2456">
        <v>6</v>
      </c>
      <c r="AC19" s="781">
        <v>0</v>
      </c>
      <c r="AD19" s="781">
        <v>0</v>
      </c>
      <c r="AE19" s="795">
        <v>0</v>
      </c>
      <c r="AF19" s="2420">
        <v>0</v>
      </c>
      <c r="AG19" s="781">
        <v>0</v>
      </c>
      <c r="AH19" s="791">
        <v>0</v>
      </c>
      <c r="AI19" s="795">
        <v>0</v>
      </c>
      <c r="AJ19" s="2420">
        <v>0</v>
      </c>
      <c r="AK19" s="781">
        <v>0</v>
      </c>
      <c r="AL19" s="781">
        <v>0</v>
      </c>
      <c r="AM19" s="491"/>
      <c r="AN19" s="186"/>
      <c r="AO19" s="298"/>
      <c r="AP19" s="298"/>
    </row>
    <row r="20" spans="1:42">
      <c r="A20" s="1037" t="s">
        <v>608</v>
      </c>
      <c r="B20" s="1042" t="s">
        <v>299</v>
      </c>
      <c r="C20" s="2246">
        <v>343</v>
      </c>
      <c r="D20" s="2456">
        <v>414</v>
      </c>
      <c r="E20" s="781">
        <v>0</v>
      </c>
      <c r="F20" s="781">
        <v>0</v>
      </c>
      <c r="G20" s="781">
        <v>0</v>
      </c>
      <c r="H20" s="781">
        <v>0</v>
      </c>
      <c r="I20" s="781">
        <v>23</v>
      </c>
      <c r="J20" s="791">
        <v>0</v>
      </c>
      <c r="K20" s="791">
        <v>0</v>
      </c>
      <c r="L20" s="791">
        <v>0</v>
      </c>
      <c r="M20" s="791">
        <v>0</v>
      </c>
      <c r="N20" s="791">
        <v>0</v>
      </c>
      <c r="O20" s="2246">
        <v>27</v>
      </c>
      <c r="P20" s="2246">
        <v>29</v>
      </c>
      <c r="Q20" s="781">
        <v>0</v>
      </c>
      <c r="R20" s="781">
        <v>0</v>
      </c>
      <c r="S20" s="781">
        <v>0</v>
      </c>
      <c r="T20" s="781">
        <v>0</v>
      </c>
      <c r="U20" s="781">
        <v>0</v>
      </c>
      <c r="V20" s="781">
        <v>0</v>
      </c>
      <c r="W20" s="781">
        <v>0</v>
      </c>
      <c r="X20" s="781">
        <v>0</v>
      </c>
      <c r="Y20" s="781">
        <v>0</v>
      </c>
      <c r="Z20" s="781">
        <v>0</v>
      </c>
      <c r="AA20" s="2246">
        <v>13</v>
      </c>
      <c r="AB20" s="2456">
        <v>9</v>
      </c>
      <c r="AC20" s="781">
        <v>0</v>
      </c>
      <c r="AD20" s="781">
        <v>0</v>
      </c>
      <c r="AE20" s="795">
        <v>15</v>
      </c>
      <c r="AF20" s="2420">
        <v>0</v>
      </c>
      <c r="AG20" s="781">
        <v>15</v>
      </c>
      <c r="AH20" s="791">
        <v>0</v>
      </c>
      <c r="AI20" s="795">
        <v>15</v>
      </c>
      <c r="AJ20" s="2420">
        <v>0</v>
      </c>
      <c r="AK20" s="781">
        <v>15</v>
      </c>
      <c r="AL20" s="781">
        <v>0</v>
      </c>
      <c r="AM20" s="491"/>
      <c r="AN20" s="186"/>
      <c r="AO20" s="298"/>
      <c r="AP20" s="298"/>
    </row>
    <row r="21" spans="1:42">
      <c r="A21" s="1037" t="s">
        <v>197</v>
      </c>
      <c r="B21" s="1038" t="s">
        <v>300</v>
      </c>
      <c r="C21" s="2246">
        <v>80</v>
      </c>
      <c r="D21" s="2456">
        <v>85</v>
      </c>
      <c r="E21" s="781">
        <v>0</v>
      </c>
      <c r="F21" s="781">
        <v>0</v>
      </c>
      <c r="G21" s="781">
        <v>0</v>
      </c>
      <c r="H21" s="781">
        <v>0</v>
      </c>
      <c r="I21" s="781">
        <v>0</v>
      </c>
      <c r="J21" s="791">
        <v>0</v>
      </c>
      <c r="K21" s="791">
        <v>0</v>
      </c>
      <c r="L21" s="791">
        <v>0</v>
      </c>
      <c r="M21" s="791">
        <v>0</v>
      </c>
      <c r="N21" s="791">
        <v>0</v>
      </c>
      <c r="O21" s="2246">
        <v>2</v>
      </c>
      <c r="P21" s="2246">
        <v>1</v>
      </c>
      <c r="Q21" s="781">
        <v>0</v>
      </c>
      <c r="R21" s="781">
        <v>0</v>
      </c>
      <c r="S21" s="781">
        <v>0</v>
      </c>
      <c r="T21" s="781">
        <v>0</v>
      </c>
      <c r="U21" s="781">
        <v>0</v>
      </c>
      <c r="V21" s="781">
        <v>0</v>
      </c>
      <c r="W21" s="781">
        <v>0</v>
      </c>
      <c r="X21" s="781">
        <v>0</v>
      </c>
      <c r="Y21" s="781">
        <v>0</v>
      </c>
      <c r="Z21" s="781">
        <v>0</v>
      </c>
      <c r="AA21" s="2246">
        <v>6</v>
      </c>
      <c r="AB21" s="2456">
        <v>5</v>
      </c>
      <c r="AC21" s="781">
        <v>0</v>
      </c>
      <c r="AD21" s="781">
        <v>0</v>
      </c>
      <c r="AE21" s="795">
        <v>0</v>
      </c>
      <c r="AF21" s="2420">
        <v>0</v>
      </c>
      <c r="AG21" s="781">
        <v>0</v>
      </c>
      <c r="AH21" s="791">
        <v>0</v>
      </c>
      <c r="AI21" s="795">
        <v>0</v>
      </c>
      <c r="AJ21" s="2420">
        <v>0</v>
      </c>
      <c r="AK21" s="781">
        <v>0</v>
      </c>
      <c r="AL21" s="781">
        <v>0</v>
      </c>
      <c r="AM21" s="365"/>
      <c r="AN21" s="186"/>
      <c r="AO21" s="298"/>
      <c r="AP21" s="298"/>
    </row>
    <row r="22" spans="1:42">
      <c r="A22" s="1037" t="s">
        <v>199</v>
      </c>
      <c r="B22" s="1038" t="s">
        <v>301</v>
      </c>
      <c r="C22" s="2246">
        <v>26</v>
      </c>
      <c r="D22" s="2456">
        <v>39</v>
      </c>
      <c r="E22" s="781">
        <v>0</v>
      </c>
      <c r="F22" s="781">
        <v>0</v>
      </c>
      <c r="G22" s="781">
        <v>0</v>
      </c>
      <c r="H22" s="781">
        <v>0</v>
      </c>
      <c r="I22" s="781">
        <v>0</v>
      </c>
      <c r="J22" s="791">
        <v>0</v>
      </c>
      <c r="K22" s="791">
        <v>0</v>
      </c>
      <c r="L22" s="791">
        <v>0</v>
      </c>
      <c r="M22" s="791">
        <v>0</v>
      </c>
      <c r="N22" s="791">
        <v>0</v>
      </c>
      <c r="O22" s="2246">
        <v>2</v>
      </c>
      <c r="P22" s="2246">
        <v>2</v>
      </c>
      <c r="Q22" s="781">
        <v>0</v>
      </c>
      <c r="R22" s="781">
        <v>0</v>
      </c>
      <c r="S22" s="781">
        <v>0</v>
      </c>
      <c r="T22" s="781">
        <v>0</v>
      </c>
      <c r="U22" s="781">
        <v>0</v>
      </c>
      <c r="V22" s="781">
        <v>0</v>
      </c>
      <c r="W22" s="781">
        <v>0</v>
      </c>
      <c r="X22" s="781">
        <v>0</v>
      </c>
      <c r="Y22" s="781">
        <v>0</v>
      </c>
      <c r="Z22" s="781">
        <v>0</v>
      </c>
      <c r="AA22" s="2246">
        <v>3</v>
      </c>
      <c r="AB22" s="2456">
        <v>3</v>
      </c>
      <c r="AC22" s="781">
        <v>0</v>
      </c>
      <c r="AD22" s="781">
        <v>0</v>
      </c>
      <c r="AE22" s="795">
        <v>0</v>
      </c>
      <c r="AF22" s="2420">
        <v>0</v>
      </c>
      <c r="AG22" s="781">
        <v>0</v>
      </c>
      <c r="AH22" s="791">
        <v>0</v>
      </c>
      <c r="AI22" s="795">
        <v>0</v>
      </c>
      <c r="AJ22" s="2420">
        <v>0</v>
      </c>
      <c r="AK22" s="781">
        <v>0</v>
      </c>
      <c r="AL22" s="781">
        <v>0</v>
      </c>
      <c r="AM22" s="365"/>
      <c r="AN22" s="186"/>
      <c r="AO22" s="298"/>
      <c r="AP22" s="298"/>
    </row>
    <row r="23" spans="1:42">
      <c r="A23" s="1037" t="s">
        <v>201</v>
      </c>
      <c r="B23" s="1038" t="s">
        <v>860</v>
      </c>
      <c r="C23" s="2246">
        <v>615</v>
      </c>
      <c r="D23" s="2456">
        <v>615</v>
      </c>
      <c r="E23" s="781">
        <v>0</v>
      </c>
      <c r="F23" s="781">
        <v>0</v>
      </c>
      <c r="G23" s="781">
        <v>0</v>
      </c>
      <c r="H23" s="781">
        <v>0</v>
      </c>
      <c r="I23" s="781">
        <v>0</v>
      </c>
      <c r="J23" s="791">
        <v>0</v>
      </c>
      <c r="K23" s="791">
        <v>0</v>
      </c>
      <c r="L23" s="791">
        <v>0</v>
      </c>
      <c r="M23" s="791">
        <v>0</v>
      </c>
      <c r="N23" s="791">
        <v>0</v>
      </c>
      <c r="O23" s="2246">
        <v>14</v>
      </c>
      <c r="P23" s="2246">
        <v>16</v>
      </c>
      <c r="Q23" s="781">
        <v>0</v>
      </c>
      <c r="R23" s="781">
        <v>0</v>
      </c>
      <c r="S23" s="781">
        <v>0</v>
      </c>
      <c r="T23" s="781">
        <v>0</v>
      </c>
      <c r="U23" s="781">
        <v>0</v>
      </c>
      <c r="V23" s="781">
        <v>0</v>
      </c>
      <c r="W23" s="781">
        <v>0</v>
      </c>
      <c r="X23" s="781">
        <v>0</v>
      </c>
      <c r="Y23" s="781">
        <v>0</v>
      </c>
      <c r="Z23" s="781">
        <v>0</v>
      </c>
      <c r="AA23" s="2246">
        <v>14</v>
      </c>
      <c r="AB23" s="2456">
        <v>59</v>
      </c>
      <c r="AC23" s="781">
        <v>0</v>
      </c>
      <c r="AD23" s="781">
        <v>0</v>
      </c>
      <c r="AE23" s="795">
        <v>35</v>
      </c>
      <c r="AF23" s="2420">
        <v>0</v>
      </c>
      <c r="AG23" s="781">
        <v>0</v>
      </c>
      <c r="AH23" s="791">
        <v>0</v>
      </c>
      <c r="AI23" s="795">
        <v>0</v>
      </c>
      <c r="AJ23" s="2420">
        <v>0</v>
      </c>
      <c r="AK23" s="781">
        <v>0</v>
      </c>
      <c r="AL23" s="781">
        <v>0</v>
      </c>
      <c r="AM23" s="365"/>
      <c r="AN23" s="186"/>
      <c r="AO23" s="298"/>
      <c r="AP23" s="298"/>
    </row>
    <row r="24" spans="1:42">
      <c r="A24" s="1037" t="s">
        <v>203</v>
      </c>
      <c r="B24" s="1038" t="s">
        <v>609</v>
      </c>
      <c r="C24" s="1039">
        <f>SUM(C25:C27)</f>
        <v>94</v>
      </c>
      <c r="D24" s="2457">
        <f>SUM(D25:D27)</f>
        <v>129</v>
      </c>
      <c r="E24" s="1040">
        <f t="shared" ref="E24:N24" si="9">SUM(E25:E27)</f>
        <v>0</v>
      </c>
      <c r="F24" s="1041">
        <f t="shared" si="9"/>
        <v>0</v>
      </c>
      <c r="G24" s="2461">
        <f t="shared" si="9"/>
        <v>0</v>
      </c>
      <c r="H24" s="2465">
        <f t="shared" si="9"/>
        <v>0</v>
      </c>
      <c r="I24" s="1040">
        <f t="shared" si="9"/>
        <v>0</v>
      </c>
      <c r="J24" s="1041">
        <f t="shared" si="9"/>
        <v>0</v>
      </c>
      <c r="K24" s="2461">
        <f t="shared" si="9"/>
        <v>0</v>
      </c>
      <c r="L24" s="2465">
        <f t="shared" si="9"/>
        <v>0</v>
      </c>
      <c r="M24" s="1040">
        <f t="shared" si="9"/>
        <v>0</v>
      </c>
      <c r="N24" s="1041">
        <f t="shared" si="9"/>
        <v>0</v>
      </c>
      <c r="O24" s="1039">
        <f>SUM(O25:O27)</f>
        <v>4</v>
      </c>
      <c r="P24" s="1039">
        <f>SUM(P25:P27)</f>
        <v>4</v>
      </c>
      <c r="Q24" s="1040">
        <f t="shared" ref="Q24:Z24" si="10">SUM(Q25:Q27)</f>
        <v>0</v>
      </c>
      <c r="R24" s="1041">
        <f t="shared" si="10"/>
        <v>0</v>
      </c>
      <c r="S24" s="1040">
        <f t="shared" si="10"/>
        <v>0</v>
      </c>
      <c r="T24" s="1041">
        <f t="shared" si="10"/>
        <v>0</v>
      </c>
      <c r="U24" s="2461">
        <f t="shared" si="10"/>
        <v>0</v>
      </c>
      <c r="V24" s="2465">
        <f t="shared" si="10"/>
        <v>0</v>
      </c>
      <c r="W24" s="1040">
        <f t="shared" si="10"/>
        <v>0</v>
      </c>
      <c r="X24" s="1041">
        <f t="shared" si="10"/>
        <v>0</v>
      </c>
      <c r="Y24" s="2461">
        <f t="shared" si="10"/>
        <v>0</v>
      </c>
      <c r="Z24" s="2465">
        <f t="shared" si="10"/>
        <v>0</v>
      </c>
      <c r="AA24" s="1039">
        <f>SUM(AA25:AA27)</f>
        <v>15</v>
      </c>
      <c r="AB24" s="2457">
        <f>SUM(AB25:AB27)</f>
        <v>7</v>
      </c>
      <c r="AC24" s="1040">
        <f t="shared" ref="AC24:AL24" si="11">SUM(AC25:AC27)</f>
        <v>0</v>
      </c>
      <c r="AD24" s="1041">
        <f t="shared" si="11"/>
        <v>0</v>
      </c>
      <c r="AE24" s="2461">
        <f t="shared" si="11"/>
        <v>0</v>
      </c>
      <c r="AF24" s="2465">
        <f t="shared" si="11"/>
        <v>0</v>
      </c>
      <c r="AG24" s="1040">
        <f t="shared" si="11"/>
        <v>0</v>
      </c>
      <c r="AH24" s="1041">
        <f t="shared" si="11"/>
        <v>0</v>
      </c>
      <c r="AI24" s="2461">
        <f t="shared" si="11"/>
        <v>0</v>
      </c>
      <c r="AJ24" s="2465">
        <f t="shared" si="11"/>
        <v>0</v>
      </c>
      <c r="AK24" s="1040">
        <f>SUM(AK25:AK27)</f>
        <v>0</v>
      </c>
      <c r="AL24" s="1041">
        <f t="shared" si="11"/>
        <v>0</v>
      </c>
      <c r="AM24" s="365"/>
      <c r="AN24" s="186"/>
      <c r="AO24" s="298"/>
      <c r="AP24" s="298"/>
    </row>
    <row r="25" spans="1:42">
      <c r="A25" s="1037" t="s">
        <v>610</v>
      </c>
      <c r="B25" s="1043" t="s">
        <v>302</v>
      </c>
      <c r="C25" s="2246">
        <v>4</v>
      </c>
      <c r="D25" s="2456">
        <v>5</v>
      </c>
      <c r="E25" s="781">
        <v>0</v>
      </c>
      <c r="F25" s="781">
        <v>0</v>
      </c>
      <c r="G25" s="781">
        <v>0</v>
      </c>
      <c r="H25" s="781">
        <v>0</v>
      </c>
      <c r="I25" s="781">
        <v>0</v>
      </c>
      <c r="J25" s="781">
        <v>0</v>
      </c>
      <c r="K25" s="781">
        <v>0</v>
      </c>
      <c r="L25" s="781">
        <v>0</v>
      </c>
      <c r="M25" s="781">
        <v>0</v>
      </c>
      <c r="N25" s="781">
        <v>0</v>
      </c>
      <c r="O25" s="2246">
        <v>1</v>
      </c>
      <c r="P25" s="2246">
        <v>1</v>
      </c>
      <c r="Q25" s="781">
        <v>0</v>
      </c>
      <c r="R25" s="781">
        <v>0</v>
      </c>
      <c r="S25" s="781">
        <v>0</v>
      </c>
      <c r="T25" s="781">
        <v>0</v>
      </c>
      <c r="U25" s="781">
        <v>0</v>
      </c>
      <c r="V25" s="781">
        <v>0</v>
      </c>
      <c r="W25" s="781">
        <v>0</v>
      </c>
      <c r="X25" s="781">
        <v>0</v>
      </c>
      <c r="Y25" s="781">
        <v>0</v>
      </c>
      <c r="Z25" s="781">
        <v>0</v>
      </c>
      <c r="AA25" s="2246">
        <v>4</v>
      </c>
      <c r="AB25" s="2456">
        <v>1</v>
      </c>
      <c r="AC25" s="781">
        <v>0</v>
      </c>
      <c r="AD25" s="781">
        <v>0</v>
      </c>
      <c r="AE25" s="781">
        <v>0</v>
      </c>
      <c r="AF25" s="781">
        <v>0</v>
      </c>
      <c r="AG25" s="781">
        <v>0</v>
      </c>
      <c r="AH25" s="781">
        <v>0</v>
      </c>
      <c r="AI25" s="781">
        <v>0</v>
      </c>
      <c r="AJ25" s="781">
        <v>0</v>
      </c>
      <c r="AK25" s="781">
        <v>0</v>
      </c>
      <c r="AL25" s="781">
        <v>0</v>
      </c>
      <c r="AM25" s="492"/>
      <c r="AN25" s="186"/>
      <c r="AO25" s="298"/>
      <c r="AP25" s="298"/>
    </row>
    <row r="26" spans="1:42">
      <c r="A26" s="1044" t="s">
        <v>611</v>
      </c>
      <c r="B26" s="791" t="s">
        <v>1560</v>
      </c>
      <c r="C26" s="2246">
        <v>73</v>
      </c>
      <c r="D26" s="2456">
        <v>83</v>
      </c>
      <c r="E26" s="781">
        <v>0</v>
      </c>
      <c r="F26" s="781">
        <v>0</v>
      </c>
      <c r="G26" s="781">
        <v>0</v>
      </c>
      <c r="H26" s="781">
        <v>0</v>
      </c>
      <c r="I26" s="781">
        <v>0</v>
      </c>
      <c r="J26" s="781">
        <v>0</v>
      </c>
      <c r="K26" s="781">
        <v>0</v>
      </c>
      <c r="L26" s="781">
        <v>0</v>
      </c>
      <c r="M26" s="781">
        <v>0</v>
      </c>
      <c r="N26" s="781">
        <v>0</v>
      </c>
      <c r="O26" s="2246">
        <v>3</v>
      </c>
      <c r="P26" s="2246">
        <v>3</v>
      </c>
      <c r="Q26" s="781">
        <v>0</v>
      </c>
      <c r="R26" s="781">
        <v>0</v>
      </c>
      <c r="S26" s="781">
        <v>0</v>
      </c>
      <c r="T26" s="781">
        <v>0</v>
      </c>
      <c r="U26" s="781">
        <v>0</v>
      </c>
      <c r="V26" s="781">
        <v>0</v>
      </c>
      <c r="W26" s="781">
        <v>0</v>
      </c>
      <c r="X26" s="781">
        <v>0</v>
      </c>
      <c r="Y26" s="781">
        <v>0</v>
      </c>
      <c r="Z26" s="781">
        <v>0</v>
      </c>
      <c r="AA26" s="2246">
        <v>11</v>
      </c>
      <c r="AB26" s="2456">
        <v>6</v>
      </c>
      <c r="AC26" s="781">
        <v>0</v>
      </c>
      <c r="AD26" s="781">
        <v>0</v>
      </c>
      <c r="AE26" s="781">
        <v>0</v>
      </c>
      <c r="AF26" s="781">
        <v>0</v>
      </c>
      <c r="AG26" s="781">
        <v>0</v>
      </c>
      <c r="AH26" s="781">
        <v>0</v>
      </c>
      <c r="AI26" s="781">
        <v>0</v>
      </c>
      <c r="AJ26" s="781">
        <v>0</v>
      </c>
      <c r="AK26" s="781">
        <v>0</v>
      </c>
      <c r="AL26" s="781">
        <v>0</v>
      </c>
      <c r="AM26" s="492"/>
      <c r="AN26" s="186"/>
      <c r="AO26" s="298"/>
      <c r="AP26" s="298"/>
    </row>
    <row r="27" spans="1:42" ht="15.75" thickBot="1">
      <c r="A27" s="1044" t="s">
        <v>612</v>
      </c>
      <c r="B27" s="791" t="s">
        <v>1561</v>
      </c>
      <c r="C27" s="2247">
        <v>17</v>
      </c>
      <c r="D27" s="2458">
        <v>41</v>
      </c>
      <c r="E27" s="781">
        <v>0</v>
      </c>
      <c r="F27" s="781">
        <v>0</v>
      </c>
      <c r="G27" s="781">
        <v>0</v>
      </c>
      <c r="H27" s="781">
        <v>0</v>
      </c>
      <c r="I27" s="781">
        <v>0</v>
      </c>
      <c r="J27" s="781">
        <v>0</v>
      </c>
      <c r="K27" s="781">
        <v>0</v>
      </c>
      <c r="L27" s="781">
        <v>0</v>
      </c>
      <c r="M27" s="781">
        <v>0</v>
      </c>
      <c r="N27" s="781">
        <v>0</v>
      </c>
      <c r="O27" s="2247">
        <v>0</v>
      </c>
      <c r="P27" s="2247">
        <v>0</v>
      </c>
      <c r="Q27" s="781">
        <v>0</v>
      </c>
      <c r="R27" s="781">
        <v>0</v>
      </c>
      <c r="S27" s="781">
        <v>0</v>
      </c>
      <c r="T27" s="781">
        <v>0</v>
      </c>
      <c r="U27" s="781">
        <v>0</v>
      </c>
      <c r="V27" s="781">
        <v>0</v>
      </c>
      <c r="W27" s="781">
        <v>0</v>
      </c>
      <c r="X27" s="781">
        <v>0</v>
      </c>
      <c r="Y27" s="781">
        <v>0</v>
      </c>
      <c r="Z27" s="781">
        <v>0</v>
      </c>
      <c r="AA27" s="2247"/>
      <c r="AB27" s="2458">
        <v>0</v>
      </c>
      <c r="AC27" s="781">
        <v>0</v>
      </c>
      <c r="AD27" s="781">
        <v>0</v>
      </c>
      <c r="AE27" s="781">
        <v>0</v>
      </c>
      <c r="AF27" s="781">
        <v>0</v>
      </c>
      <c r="AG27" s="781">
        <v>0</v>
      </c>
      <c r="AH27" s="781">
        <v>0</v>
      </c>
      <c r="AI27" s="781">
        <v>0</v>
      </c>
      <c r="AJ27" s="781">
        <v>0</v>
      </c>
      <c r="AK27" s="781">
        <v>0</v>
      </c>
      <c r="AL27" s="781">
        <v>0</v>
      </c>
      <c r="AM27" s="492"/>
      <c r="AN27" s="186"/>
      <c r="AO27" s="298"/>
      <c r="AP27" s="298"/>
    </row>
    <row r="28" spans="1:42" thickBot="1">
      <c r="A28" s="1045" t="s">
        <v>103</v>
      </c>
      <c r="B28" s="1046" t="s">
        <v>303</v>
      </c>
      <c r="C28" s="1027">
        <f>SUM(C29:C52)-C36-C49</f>
        <v>2026</v>
      </c>
      <c r="D28" s="1030">
        <f t="shared" ref="D28:AL28" si="12">SUM(D29:D52)-D36-D49</f>
        <v>1941</v>
      </c>
      <c r="E28" s="1028">
        <f t="shared" si="12"/>
        <v>0</v>
      </c>
      <c r="F28" s="1029">
        <f t="shared" si="12"/>
        <v>-1</v>
      </c>
      <c r="G28" s="1028">
        <f t="shared" si="12"/>
        <v>0</v>
      </c>
      <c r="H28" s="1029">
        <f t="shared" si="12"/>
        <v>-1</v>
      </c>
      <c r="I28" s="1028">
        <f t="shared" si="12"/>
        <v>0</v>
      </c>
      <c r="J28" s="1029">
        <f t="shared" si="12"/>
        <v>-1</v>
      </c>
      <c r="K28" s="1028">
        <f t="shared" si="12"/>
        <v>0</v>
      </c>
      <c r="L28" s="1029">
        <f t="shared" si="12"/>
        <v>-60</v>
      </c>
      <c r="M28" s="1028">
        <f t="shared" si="12"/>
        <v>0</v>
      </c>
      <c r="N28" s="1029">
        <f t="shared" si="12"/>
        <v>-117</v>
      </c>
      <c r="O28" s="1027">
        <f t="shared" si="12"/>
        <v>26</v>
      </c>
      <c r="P28" s="1030">
        <f t="shared" si="12"/>
        <v>20</v>
      </c>
      <c r="Q28" s="1028">
        <f t="shared" si="12"/>
        <v>0</v>
      </c>
      <c r="R28" s="1029">
        <f t="shared" si="12"/>
        <v>0</v>
      </c>
      <c r="S28" s="1028">
        <f t="shared" si="12"/>
        <v>0</v>
      </c>
      <c r="T28" s="1029">
        <f t="shared" si="12"/>
        <v>0</v>
      </c>
      <c r="U28" s="1028">
        <f t="shared" si="12"/>
        <v>0</v>
      </c>
      <c r="V28" s="1029">
        <f t="shared" si="12"/>
        <v>0</v>
      </c>
      <c r="W28" s="1028">
        <f t="shared" si="12"/>
        <v>0</v>
      </c>
      <c r="X28" s="1029">
        <f t="shared" si="12"/>
        <v>0</v>
      </c>
      <c r="Y28" s="1028">
        <f t="shared" si="12"/>
        <v>0</v>
      </c>
      <c r="Z28" s="1029">
        <f t="shared" si="12"/>
        <v>0</v>
      </c>
      <c r="AA28" s="1027">
        <f t="shared" si="12"/>
        <v>51</v>
      </c>
      <c r="AB28" s="1030">
        <f t="shared" si="12"/>
        <v>303</v>
      </c>
      <c r="AC28" s="1028">
        <f t="shared" si="12"/>
        <v>0</v>
      </c>
      <c r="AD28" s="1029">
        <f t="shared" si="12"/>
        <v>0</v>
      </c>
      <c r="AE28" s="1028">
        <f t="shared" si="12"/>
        <v>0</v>
      </c>
      <c r="AF28" s="1029">
        <f t="shared" si="12"/>
        <v>0</v>
      </c>
      <c r="AG28" s="1028">
        <f t="shared" si="12"/>
        <v>0</v>
      </c>
      <c r="AH28" s="1029">
        <f t="shared" si="12"/>
        <v>0</v>
      </c>
      <c r="AI28" s="1028">
        <f t="shared" si="12"/>
        <v>0</v>
      </c>
      <c r="AJ28" s="1029">
        <f t="shared" si="12"/>
        <v>0</v>
      </c>
      <c r="AK28" s="1028">
        <f t="shared" si="12"/>
        <v>0</v>
      </c>
      <c r="AL28" s="1029">
        <f t="shared" si="12"/>
        <v>0</v>
      </c>
      <c r="AM28" s="493"/>
      <c r="AN28" s="186"/>
      <c r="AO28" s="298"/>
      <c r="AP28" s="298"/>
    </row>
    <row r="29" spans="1:42" ht="15.75" customHeight="1">
      <c r="A29" s="1031" t="s">
        <v>105</v>
      </c>
      <c r="B29" s="1501" t="s">
        <v>304</v>
      </c>
      <c r="C29" s="2246">
        <v>70</v>
      </c>
      <c r="D29" s="2456">
        <v>70</v>
      </c>
      <c r="E29" s="781">
        <v>0</v>
      </c>
      <c r="F29" s="781">
        <v>0</v>
      </c>
      <c r="G29" s="781">
        <v>0</v>
      </c>
      <c r="H29" s="781">
        <v>0</v>
      </c>
      <c r="I29" s="781">
        <v>0</v>
      </c>
      <c r="J29" s="781">
        <v>0</v>
      </c>
      <c r="K29" s="781">
        <v>0</v>
      </c>
      <c r="L29" s="781">
        <v>0</v>
      </c>
      <c r="M29" s="781">
        <v>0</v>
      </c>
      <c r="N29" s="781">
        <v>0</v>
      </c>
      <c r="O29" s="2246">
        <v>3</v>
      </c>
      <c r="P29" s="2246">
        <v>3</v>
      </c>
      <c r="Q29" s="781">
        <v>0</v>
      </c>
      <c r="R29" s="781">
        <v>0</v>
      </c>
      <c r="S29" s="781">
        <v>0</v>
      </c>
      <c r="T29" s="781">
        <v>0</v>
      </c>
      <c r="U29" s="781">
        <v>0</v>
      </c>
      <c r="V29" s="781">
        <v>0</v>
      </c>
      <c r="W29" s="781">
        <v>0</v>
      </c>
      <c r="X29" s="781">
        <v>0</v>
      </c>
      <c r="Y29" s="781">
        <v>0</v>
      </c>
      <c r="Z29" s="781">
        <v>0</v>
      </c>
      <c r="AA29" s="2246">
        <v>4</v>
      </c>
      <c r="AB29" s="2456">
        <v>3</v>
      </c>
      <c r="AC29" s="781">
        <v>0</v>
      </c>
      <c r="AD29" s="781">
        <v>0</v>
      </c>
      <c r="AE29" s="781">
        <v>0</v>
      </c>
      <c r="AF29" s="781">
        <v>0</v>
      </c>
      <c r="AG29" s="781">
        <v>0</v>
      </c>
      <c r="AH29" s="781">
        <v>0</v>
      </c>
      <c r="AI29" s="781">
        <v>0</v>
      </c>
      <c r="AJ29" s="781">
        <v>0</v>
      </c>
      <c r="AK29" s="781">
        <v>0</v>
      </c>
      <c r="AL29" s="781">
        <v>0</v>
      </c>
      <c r="AM29" s="493"/>
      <c r="AN29" s="187"/>
      <c r="AO29" s="298"/>
      <c r="AP29" s="298"/>
    </row>
    <row r="30" spans="1:42">
      <c r="A30" s="1037" t="s">
        <v>107</v>
      </c>
      <c r="B30" s="3114" t="s">
        <v>305</v>
      </c>
      <c r="C30" s="2246">
        <v>1290</v>
      </c>
      <c r="D30" s="2246">
        <v>1297</v>
      </c>
      <c r="E30" s="781">
        <v>0</v>
      </c>
      <c r="F30" s="791">
        <v>-1</v>
      </c>
      <c r="G30" s="781">
        <v>0</v>
      </c>
      <c r="H30" s="791">
        <v>-1</v>
      </c>
      <c r="I30" s="781">
        <v>0</v>
      </c>
      <c r="J30" s="791">
        <v>-1</v>
      </c>
      <c r="K30" s="781">
        <v>0</v>
      </c>
      <c r="L30" s="791">
        <v>-60</v>
      </c>
      <c r="M30" s="781">
        <v>0</v>
      </c>
      <c r="N30" s="791">
        <v>-117</v>
      </c>
      <c r="O30" s="2246">
        <v>0</v>
      </c>
      <c r="P30" s="2246">
        <v>0</v>
      </c>
      <c r="Q30" s="781">
        <v>0</v>
      </c>
      <c r="R30" s="781">
        <v>0</v>
      </c>
      <c r="S30" s="781">
        <v>0</v>
      </c>
      <c r="T30" s="781">
        <v>0</v>
      </c>
      <c r="U30" s="781">
        <v>0</v>
      </c>
      <c r="V30" s="781">
        <v>0</v>
      </c>
      <c r="W30" s="781">
        <v>0</v>
      </c>
      <c r="X30" s="781">
        <v>0</v>
      </c>
      <c r="Y30" s="781">
        <v>0</v>
      </c>
      <c r="Z30" s="781">
        <v>0</v>
      </c>
      <c r="AA30" s="2246">
        <v>0</v>
      </c>
      <c r="AB30" s="2456">
        <v>0</v>
      </c>
      <c r="AC30" s="781">
        <v>0</v>
      </c>
      <c r="AD30" s="781">
        <v>0</v>
      </c>
      <c r="AE30" s="781">
        <v>0</v>
      </c>
      <c r="AF30" s="781">
        <v>0</v>
      </c>
      <c r="AG30" s="781">
        <v>0</v>
      </c>
      <c r="AH30" s="781">
        <v>0</v>
      </c>
      <c r="AI30" s="781">
        <v>0</v>
      </c>
      <c r="AJ30" s="781">
        <v>0</v>
      </c>
      <c r="AK30" s="781">
        <v>0</v>
      </c>
      <c r="AL30" s="781">
        <v>0</v>
      </c>
      <c r="AM30" s="365"/>
      <c r="AN30" s="187"/>
      <c r="AO30" s="298"/>
      <c r="AP30" s="298"/>
    </row>
    <row r="31" spans="1:42">
      <c r="A31" s="1037" t="s">
        <v>225</v>
      </c>
      <c r="B31" s="1500" t="s">
        <v>307</v>
      </c>
      <c r="C31" s="2246">
        <v>3</v>
      </c>
      <c r="D31" s="2456">
        <v>2</v>
      </c>
      <c r="E31" s="781">
        <v>0</v>
      </c>
      <c r="F31" s="781">
        <v>0</v>
      </c>
      <c r="G31" s="781">
        <v>0</v>
      </c>
      <c r="H31" s="781">
        <v>0</v>
      </c>
      <c r="I31" s="781">
        <v>0</v>
      </c>
      <c r="J31" s="781">
        <v>0</v>
      </c>
      <c r="K31" s="781">
        <v>0</v>
      </c>
      <c r="L31" s="781">
        <v>0</v>
      </c>
      <c r="M31" s="781">
        <v>0</v>
      </c>
      <c r="N31" s="781">
        <v>0</v>
      </c>
      <c r="O31" s="781">
        <v>0</v>
      </c>
      <c r="P31" s="781">
        <v>0</v>
      </c>
      <c r="Q31" s="781">
        <v>0</v>
      </c>
      <c r="R31" s="781">
        <v>0</v>
      </c>
      <c r="S31" s="781">
        <v>0</v>
      </c>
      <c r="T31" s="781">
        <v>0</v>
      </c>
      <c r="U31" s="781">
        <v>0</v>
      </c>
      <c r="V31" s="781">
        <v>0</v>
      </c>
      <c r="W31" s="781">
        <v>0</v>
      </c>
      <c r="X31" s="781">
        <v>0</v>
      </c>
      <c r="Y31" s="781">
        <v>0</v>
      </c>
      <c r="Z31" s="781">
        <v>0</v>
      </c>
      <c r="AA31" s="781">
        <v>0</v>
      </c>
      <c r="AB31" s="781">
        <v>0</v>
      </c>
      <c r="AC31" s="781">
        <v>0</v>
      </c>
      <c r="AD31" s="781">
        <v>0</v>
      </c>
      <c r="AE31" s="781">
        <v>0</v>
      </c>
      <c r="AF31" s="781">
        <v>0</v>
      </c>
      <c r="AG31" s="781">
        <v>0</v>
      </c>
      <c r="AH31" s="781">
        <v>0</v>
      </c>
      <c r="AI31" s="781">
        <v>0</v>
      </c>
      <c r="AJ31" s="781">
        <v>0</v>
      </c>
      <c r="AK31" s="781">
        <v>0</v>
      </c>
      <c r="AL31" s="781">
        <v>0</v>
      </c>
      <c r="AM31" s="491"/>
      <c r="AN31" s="358"/>
      <c r="AO31" s="358"/>
      <c r="AP31" s="358"/>
    </row>
    <row r="32" spans="1:42">
      <c r="A32" s="1037" t="s">
        <v>306</v>
      </c>
      <c r="B32" s="1500" t="s">
        <v>309</v>
      </c>
      <c r="C32" s="2246">
        <v>28</v>
      </c>
      <c r="D32" s="2456">
        <v>29</v>
      </c>
      <c r="E32" s="781">
        <v>0</v>
      </c>
      <c r="F32" s="781">
        <v>0</v>
      </c>
      <c r="G32" s="781">
        <v>0</v>
      </c>
      <c r="H32" s="781">
        <v>0</v>
      </c>
      <c r="I32" s="781">
        <v>0</v>
      </c>
      <c r="J32" s="781">
        <v>0</v>
      </c>
      <c r="K32" s="781">
        <v>0</v>
      </c>
      <c r="L32" s="781">
        <v>0</v>
      </c>
      <c r="M32" s="781">
        <v>0</v>
      </c>
      <c r="N32" s="781">
        <v>0</v>
      </c>
      <c r="O32" s="2246">
        <v>1</v>
      </c>
      <c r="P32" s="2246">
        <v>1</v>
      </c>
      <c r="Q32" s="781">
        <v>0</v>
      </c>
      <c r="R32" s="781">
        <v>0</v>
      </c>
      <c r="S32" s="781">
        <v>0</v>
      </c>
      <c r="T32" s="781">
        <v>0</v>
      </c>
      <c r="U32" s="781">
        <v>0</v>
      </c>
      <c r="V32" s="781">
        <v>0</v>
      </c>
      <c r="W32" s="781">
        <v>0</v>
      </c>
      <c r="X32" s="781">
        <v>0</v>
      </c>
      <c r="Y32" s="781">
        <v>0</v>
      </c>
      <c r="Z32" s="781">
        <v>0</v>
      </c>
      <c r="AA32" s="2246">
        <v>2</v>
      </c>
      <c r="AB32" s="2456">
        <v>1</v>
      </c>
      <c r="AC32" s="781">
        <v>0</v>
      </c>
      <c r="AD32" s="781">
        <v>0</v>
      </c>
      <c r="AE32" s="781">
        <v>0</v>
      </c>
      <c r="AF32" s="781">
        <v>0</v>
      </c>
      <c r="AG32" s="781">
        <v>0</v>
      </c>
      <c r="AH32" s="781">
        <v>0</v>
      </c>
      <c r="AI32" s="781">
        <v>0</v>
      </c>
      <c r="AJ32" s="781">
        <v>0</v>
      </c>
      <c r="AK32" s="781">
        <v>0</v>
      </c>
      <c r="AL32" s="781">
        <v>0</v>
      </c>
    </row>
    <row r="33" spans="1:42">
      <c r="A33" s="1037" t="s">
        <v>308</v>
      </c>
      <c r="B33" s="1500" t="s">
        <v>311</v>
      </c>
      <c r="C33" s="2246">
        <v>1</v>
      </c>
      <c r="D33" s="2456">
        <v>2</v>
      </c>
      <c r="E33" s="781">
        <v>0</v>
      </c>
      <c r="F33" s="781">
        <v>0</v>
      </c>
      <c r="G33" s="781">
        <v>0</v>
      </c>
      <c r="H33" s="781">
        <v>0</v>
      </c>
      <c r="I33" s="781">
        <v>0</v>
      </c>
      <c r="J33" s="781">
        <v>0</v>
      </c>
      <c r="K33" s="781">
        <v>0</v>
      </c>
      <c r="L33" s="781">
        <v>0</v>
      </c>
      <c r="M33" s="781">
        <v>0</v>
      </c>
      <c r="N33" s="781">
        <v>0</v>
      </c>
      <c r="O33" s="2246">
        <v>1</v>
      </c>
      <c r="P33" s="2246">
        <v>1</v>
      </c>
      <c r="Q33" s="781">
        <v>0</v>
      </c>
      <c r="R33" s="781">
        <v>0</v>
      </c>
      <c r="S33" s="781">
        <v>0</v>
      </c>
      <c r="T33" s="781">
        <v>0</v>
      </c>
      <c r="U33" s="781">
        <v>0</v>
      </c>
      <c r="V33" s="781">
        <v>0</v>
      </c>
      <c r="W33" s="781">
        <v>0</v>
      </c>
      <c r="X33" s="781">
        <v>0</v>
      </c>
      <c r="Y33" s="781">
        <v>0</v>
      </c>
      <c r="Z33" s="781">
        <v>0</v>
      </c>
      <c r="AA33" s="2246">
        <v>8</v>
      </c>
      <c r="AB33" s="2456">
        <v>32</v>
      </c>
      <c r="AC33" s="781">
        <v>0</v>
      </c>
      <c r="AD33" s="781">
        <v>0</v>
      </c>
      <c r="AE33" s="781">
        <v>0</v>
      </c>
      <c r="AF33" s="781">
        <v>0</v>
      </c>
      <c r="AG33" s="781">
        <v>0</v>
      </c>
      <c r="AH33" s="781">
        <v>0</v>
      </c>
      <c r="AI33" s="781">
        <v>0</v>
      </c>
      <c r="AJ33" s="781">
        <v>0</v>
      </c>
      <c r="AK33" s="781">
        <v>0</v>
      </c>
      <c r="AL33" s="781">
        <v>0</v>
      </c>
    </row>
    <row r="34" spans="1:42">
      <c r="A34" s="1037" t="s">
        <v>310</v>
      </c>
      <c r="B34" s="1500" t="s">
        <v>313</v>
      </c>
      <c r="C34" s="2246">
        <v>31</v>
      </c>
      <c r="D34" s="2456">
        <v>23</v>
      </c>
      <c r="E34" s="781">
        <v>0</v>
      </c>
      <c r="F34" s="781">
        <v>0</v>
      </c>
      <c r="G34" s="781">
        <v>0</v>
      </c>
      <c r="H34" s="781">
        <v>0</v>
      </c>
      <c r="I34" s="781">
        <v>0</v>
      </c>
      <c r="J34" s="781">
        <v>0</v>
      </c>
      <c r="K34" s="781">
        <v>0</v>
      </c>
      <c r="L34" s="781">
        <v>0</v>
      </c>
      <c r="M34" s="781">
        <v>0</v>
      </c>
      <c r="N34" s="781">
        <v>0</v>
      </c>
      <c r="O34" s="2246">
        <v>1</v>
      </c>
      <c r="P34" s="2246">
        <v>1</v>
      </c>
      <c r="Q34" s="781">
        <v>0</v>
      </c>
      <c r="R34" s="781">
        <v>0</v>
      </c>
      <c r="S34" s="781">
        <v>0</v>
      </c>
      <c r="T34" s="781">
        <v>0</v>
      </c>
      <c r="U34" s="781">
        <v>0</v>
      </c>
      <c r="V34" s="781">
        <v>0</v>
      </c>
      <c r="W34" s="781">
        <v>0</v>
      </c>
      <c r="X34" s="781">
        <v>0</v>
      </c>
      <c r="Y34" s="781">
        <v>0</v>
      </c>
      <c r="Z34" s="781">
        <v>0</v>
      </c>
      <c r="AA34" s="2246">
        <v>13</v>
      </c>
      <c r="AB34" s="2456">
        <v>2</v>
      </c>
      <c r="AC34" s="781">
        <v>0</v>
      </c>
      <c r="AD34" s="781">
        <v>0</v>
      </c>
      <c r="AE34" s="781">
        <v>0</v>
      </c>
      <c r="AF34" s="781">
        <v>0</v>
      </c>
      <c r="AG34" s="781">
        <v>0</v>
      </c>
      <c r="AH34" s="781">
        <v>0</v>
      </c>
      <c r="AI34" s="781">
        <v>0</v>
      </c>
      <c r="AJ34" s="781">
        <v>0</v>
      </c>
      <c r="AK34" s="781">
        <v>0</v>
      </c>
      <c r="AL34" s="781">
        <v>0</v>
      </c>
    </row>
    <row r="35" spans="1:42">
      <c r="A35" s="1037" t="s">
        <v>312</v>
      </c>
      <c r="B35" s="1500" t="s">
        <v>315</v>
      </c>
      <c r="C35" s="2246">
        <v>16</v>
      </c>
      <c r="D35" s="2456">
        <v>19</v>
      </c>
      <c r="E35" s="781">
        <v>0</v>
      </c>
      <c r="F35" s="781">
        <v>0</v>
      </c>
      <c r="G35" s="781">
        <v>0</v>
      </c>
      <c r="H35" s="781">
        <v>0</v>
      </c>
      <c r="I35" s="781">
        <v>0</v>
      </c>
      <c r="J35" s="781">
        <v>0</v>
      </c>
      <c r="K35" s="781">
        <v>0</v>
      </c>
      <c r="L35" s="781">
        <v>0</v>
      </c>
      <c r="M35" s="781">
        <v>0</v>
      </c>
      <c r="N35" s="781">
        <v>0</v>
      </c>
      <c r="O35" s="2246">
        <v>1</v>
      </c>
      <c r="P35" s="2246">
        <v>1</v>
      </c>
      <c r="Q35" s="781">
        <v>0</v>
      </c>
      <c r="R35" s="781">
        <v>0</v>
      </c>
      <c r="S35" s="781">
        <v>0</v>
      </c>
      <c r="T35" s="781">
        <v>0</v>
      </c>
      <c r="U35" s="781">
        <v>0</v>
      </c>
      <c r="V35" s="781">
        <v>0</v>
      </c>
      <c r="W35" s="781">
        <v>0</v>
      </c>
      <c r="X35" s="781">
        <v>0</v>
      </c>
      <c r="Y35" s="781">
        <v>0</v>
      </c>
      <c r="Z35" s="781">
        <v>0</v>
      </c>
      <c r="AA35" s="2246">
        <v>1</v>
      </c>
      <c r="AB35" s="2456">
        <v>1</v>
      </c>
      <c r="AC35" s="781">
        <v>0</v>
      </c>
      <c r="AD35" s="781">
        <v>0</v>
      </c>
      <c r="AE35" s="781">
        <v>0</v>
      </c>
      <c r="AF35" s="781">
        <v>0</v>
      </c>
      <c r="AG35" s="781">
        <v>0</v>
      </c>
      <c r="AH35" s="781">
        <v>0</v>
      </c>
      <c r="AI35" s="781">
        <v>0</v>
      </c>
      <c r="AJ35" s="781">
        <v>0</v>
      </c>
      <c r="AK35" s="781">
        <v>0</v>
      </c>
      <c r="AL35" s="781">
        <v>0</v>
      </c>
    </row>
    <row r="36" spans="1:42">
      <c r="A36" s="1037" t="s">
        <v>314</v>
      </c>
      <c r="B36" s="1500" t="s">
        <v>613</v>
      </c>
      <c r="C36" s="1497">
        <f>SUM(C37:C40)</f>
        <v>14</v>
      </c>
      <c r="D36" s="1184">
        <f t="shared" ref="D36" si="13">SUM(D37:D40)</f>
        <v>14</v>
      </c>
      <c r="E36" s="1040">
        <f t="shared" ref="E36:N36" si="14">SUM(E37:E40)</f>
        <v>0</v>
      </c>
      <c r="F36" s="1041">
        <f t="shared" si="14"/>
        <v>0</v>
      </c>
      <c r="G36" s="1040">
        <f t="shared" si="14"/>
        <v>0</v>
      </c>
      <c r="H36" s="1041">
        <f t="shared" si="14"/>
        <v>0</v>
      </c>
      <c r="I36" s="1040">
        <f t="shared" si="14"/>
        <v>0</v>
      </c>
      <c r="J36" s="1041">
        <f t="shared" si="14"/>
        <v>0</v>
      </c>
      <c r="K36" s="1040">
        <f t="shared" si="14"/>
        <v>0</v>
      </c>
      <c r="L36" s="1041">
        <f t="shared" si="14"/>
        <v>0</v>
      </c>
      <c r="M36" s="1040">
        <f t="shared" si="14"/>
        <v>0</v>
      </c>
      <c r="N36" s="1041">
        <f t="shared" si="14"/>
        <v>0</v>
      </c>
      <c r="O36" s="1497">
        <f>SUM(O37:O40)</f>
        <v>3</v>
      </c>
      <c r="P36" s="1184">
        <f t="shared" ref="P36" si="15">SUM(P37:P40)</f>
        <v>3</v>
      </c>
      <c r="Q36" s="1040">
        <f t="shared" ref="Q36:Z36" si="16">SUM(Q37:Q40)</f>
        <v>0</v>
      </c>
      <c r="R36" s="1041">
        <f t="shared" si="16"/>
        <v>0</v>
      </c>
      <c r="S36" s="1040">
        <f t="shared" si="16"/>
        <v>0</v>
      </c>
      <c r="T36" s="1041">
        <f t="shared" si="16"/>
        <v>0</v>
      </c>
      <c r="U36" s="1040">
        <f t="shared" si="16"/>
        <v>0</v>
      </c>
      <c r="V36" s="1041">
        <f t="shared" si="16"/>
        <v>0</v>
      </c>
      <c r="W36" s="1040">
        <f t="shared" si="16"/>
        <v>0</v>
      </c>
      <c r="X36" s="1041">
        <f t="shared" si="16"/>
        <v>0</v>
      </c>
      <c r="Y36" s="1040">
        <f t="shared" si="16"/>
        <v>0</v>
      </c>
      <c r="Z36" s="1041">
        <f t="shared" si="16"/>
        <v>0</v>
      </c>
      <c r="AA36" s="1497">
        <f>SUM(AA37:AA40)</f>
        <v>2</v>
      </c>
      <c r="AB36" s="1184">
        <f t="shared" ref="AB36" si="17">SUM(AB37:AB40)</f>
        <v>2</v>
      </c>
      <c r="AC36" s="1040">
        <f t="shared" ref="AC36:AL36" si="18">SUM(AC37:AC40)</f>
        <v>0</v>
      </c>
      <c r="AD36" s="1041">
        <f t="shared" si="18"/>
        <v>0</v>
      </c>
      <c r="AE36" s="1040">
        <f t="shared" si="18"/>
        <v>0</v>
      </c>
      <c r="AF36" s="1041">
        <f t="shared" si="18"/>
        <v>0</v>
      </c>
      <c r="AG36" s="1040">
        <f t="shared" si="18"/>
        <v>0</v>
      </c>
      <c r="AH36" s="1041">
        <f t="shared" si="18"/>
        <v>0</v>
      </c>
      <c r="AI36" s="1040">
        <f t="shared" si="18"/>
        <v>0</v>
      </c>
      <c r="AJ36" s="1041">
        <f t="shared" si="18"/>
        <v>0</v>
      </c>
      <c r="AK36" s="1040">
        <f t="shared" si="18"/>
        <v>0</v>
      </c>
      <c r="AL36" s="1041">
        <f t="shared" si="18"/>
        <v>0</v>
      </c>
    </row>
    <row r="37" spans="1:42">
      <c r="A37" s="1037" t="s">
        <v>614</v>
      </c>
      <c r="B37" s="1498" t="s">
        <v>317</v>
      </c>
      <c r="C37" s="2246">
        <v>9</v>
      </c>
      <c r="D37" s="2456">
        <v>9</v>
      </c>
      <c r="E37" s="781">
        <v>0</v>
      </c>
      <c r="F37" s="781">
        <v>0</v>
      </c>
      <c r="G37" s="781">
        <v>0</v>
      </c>
      <c r="H37" s="781">
        <v>0</v>
      </c>
      <c r="I37" s="781">
        <v>0</v>
      </c>
      <c r="J37" s="781">
        <v>0</v>
      </c>
      <c r="K37" s="781">
        <v>0</v>
      </c>
      <c r="L37" s="781">
        <v>0</v>
      </c>
      <c r="M37" s="781">
        <v>0</v>
      </c>
      <c r="N37" s="781">
        <v>0</v>
      </c>
      <c r="O37" s="2246">
        <v>2</v>
      </c>
      <c r="P37" s="2246">
        <v>2</v>
      </c>
      <c r="Q37" s="781">
        <v>0</v>
      </c>
      <c r="R37" s="781">
        <v>0</v>
      </c>
      <c r="S37" s="781">
        <v>0</v>
      </c>
      <c r="T37" s="781">
        <v>0</v>
      </c>
      <c r="U37" s="781">
        <v>0</v>
      </c>
      <c r="V37" s="781">
        <v>0</v>
      </c>
      <c r="W37" s="781">
        <v>0</v>
      </c>
      <c r="X37" s="781">
        <v>0</v>
      </c>
      <c r="Y37" s="781">
        <v>0</v>
      </c>
      <c r="Z37" s="781">
        <v>0</v>
      </c>
      <c r="AA37" s="2246">
        <v>1</v>
      </c>
      <c r="AB37" s="2456">
        <v>1</v>
      </c>
      <c r="AC37" s="781">
        <v>0</v>
      </c>
      <c r="AD37" s="781">
        <v>0</v>
      </c>
      <c r="AE37" s="781">
        <v>0</v>
      </c>
      <c r="AF37" s="781">
        <v>0</v>
      </c>
      <c r="AG37" s="781">
        <v>0</v>
      </c>
      <c r="AH37" s="781">
        <v>0</v>
      </c>
      <c r="AI37" s="781">
        <v>0</v>
      </c>
      <c r="AJ37" s="781">
        <v>0</v>
      </c>
      <c r="AK37" s="781">
        <v>0</v>
      </c>
      <c r="AL37" s="781">
        <v>0</v>
      </c>
    </row>
    <row r="38" spans="1:42">
      <c r="A38" s="1037" t="s">
        <v>615</v>
      </c>
      <c r="B38" s="1498" t="s">
        <v>318</v>
      </c>
      <c r="C38" s="2246">
        <v>5</v>
      </c>
      <c r="D38" s="2456">
        <v>5</v>
      </c>
      <c r="E38" s="781">
        <v>0</v>
      </c>
      <c r="F38" s="781">
        <v>0</v>
      </c>
      <c r="G38" s="781">
        <v>0</v>
      </c>
      <c r="H38" s="781">
        <v>0</v>
      </c>
      <c r="I38" s="781">
        <v>0</v>
      </c>
      <c r="J38" s="781">
        <v>0</v>
      </c>
      <c r="K38" s="781">
        <v>0</v>
      </c>
      <c r="L38" s="781">
        <v>0</v>
      </c>
      <c r="M38" s="781">
        <v>0</v>
      </c>
      <c r="N38" s="781">
        <v>0</v>
      </c>
      <c r="O38" s="2246">
        <v>1</v>
      </c>
      <c r="P38" s="2246">
        <v>1</v>
      </c>
      <c r="Q38" s="781">
        <v>0</v>
      </c>
      <c r="R38" s="781">
        <v>0</v>
      </c>
      <c r="S38" s="781">
        <v>0</v>
      </c>
      <c r="T38" s="781">
        <v>0</v>
      </c>
      <c r="U38" s="781">
        <v>0</v>
      </c>
      <c r="V38" s="781">
        <v>0</v>
      </c>
      <c r="W38" s="781">
        <v>0</v>
      </c>
      <c r="X38" s="781">
        <v>0</v>
      </c>
      <c r="Y38" s="781">
        <v>0</v>
      </c>
      <c r="Z38" s="781">
        <v>0</v>
      </c>
      <c r="AA38" s="2246">
        <v>1</v>
      </c>
      <c r="AB38" s="2456">
        <v>1</v>
      </c>
      <c r="AC38" s="781">
        <v>0</v>
      </c>
      <c r="AD38" s="781">
        <v>0</v>
      </c>
      <c r="AE38" s="781">
        <v>0</v>
      </c>
      <c r="AF38" s="781">
        <v>0</v>
      </c>
      <c r="AG38" s="781">
        <v>0</v>
      </c>
      <c r="AH38" s="781">
        <v>0</v>
      </c>
      <c r="AI38" s="781">
        <v>0</v>
      </c>
      <c r="AJ38" s="781">
        <v>0</v>
      </c>
      <c r="AK38" s="781">
        <v>0</v>
      </c>
      <c r="AL38" s="781">
        <v>0</v>
      </c>
    </row>
    <row r="39" spans="1:42">
      <c r="A39" s="1037" t="s">
        <v>616</v>
      </c>
      <c r="B39" s="1498" t="s">
        <v>319</v>
      </c>
      <c r="C39" s="2246"/>
      <c r="D39" s="2456">
        <v>0</v>
      </c>
      <c r="E39" s="781">
        <v>0</v>
      </c>
      <c r="F39" s="781">
        <v>0</v>
      </c>
      <c r="G39" s="781">
        <v>0</v>
      </c>
      <c r="H39" s="781">
        <v>0</v>
      </c>
      <c r="I39" s="781">
        <v>0</v>
      </c>
      <c r="J39" s="781">
        <v>0</v>
      </c>
      <c r="K39" s="781">
        <v>0</v>
      </c>
      <c r="L39" s="781">
        <v>0</v>
      </c>
      <c r="M39" s="781">
        <v>0</v>
      </c>
      <c r="N39" s="781">
        <v>0</v>
      </c>
      <c r="O39" s="2246">
        <v>0</v>
      </c>
      <c r="P39" s="2246">
        <v>0</v>
      </c>
      <c r="Q39" s="781">
        <v>0</v>
      </c>
      <c r="R39" s="781">
        <v>0</v>
      </c>
      <c r="S39" s="781">
        <v>0</v>
      </c>
      <c r="T39" s="781">
        <v>0</v>
      </c>
      <c r="U39" s="781">
        <v>0</v>
      </c>
      <c r="V39" s="781">
        <v>0</v>
      </c>
      <c r="W39" s="781">
        <v>0</v>
      </c>
      <c r="X39" s="781">
        <v>0</v>
      </c>
      <c r="Y39" s="781">
        <v>0</v>
      </c>
      <c r="Z39" s="781">
        <v>0</v>
      </c>
      <c r="AA39" s="2246">
        <v>0</v>
      </c>
      <c r="AB39" s="2456">
        <v>0</v>
      </c>
      <c r="AC39" s="781">
        <v>0</v>
      </c>
      <c r="AD39" s="781">
        <v>0</v>
      </c>
      <c r="AE39" s="781">
        <v>0</v>
      </c>
      <c r="AF39" s="781">
        <v>0</v>
      </c>
      <c r="AG39" s="781">
        <v>0</v>
      </c>
      <c r="AH39" s="781">
        <v>0</v>
      </c>
      <c r="AI39" s="781">
        <v>0</v>
      </c>
      <c r="AJ39" s="781">
        <v>0</v>
      </c>
      <c r="AK39" s="781">
        <v>0</v>
      </c>
      <c r="AL39" s="781">
        <v>0</v>
      </c>
    </row>
    <row r="40" spans="1:42">
      <c r="A40" s="1037" t="s">
        <v>617</v>
      </c>
      <c r="B40" s="1498" t="s">
        <v>618</v>
      </c>
      <c r="C40" s="2246"/>
      <c r="D40" s="2456">
        <v>0</v>
      </c>
      <c r="E40" s="781">
        <v>0</v>
      </c>
      <c r="F40" s="781">
        <v>0</v>
      </c>
      <c r="G40" s="781">
        <v>0</v>
      </c>
      <c r="H40" s="781">
        <v>0</v>
      </c>
      <c r="I40" s="781">
        <v>0</v>
      </c>
      <c r="J40" s="781">
        <v>0</v>
      </c>
      <c r="K40" s="781">
        <v>0</v>
      </c>
      <c r="L40" s="781">
        <v>0</v>
      </c>
      <c r="M40" s="781">
        <v>0</v>
      </c>
      <c r="N40" s="781">
        <v>0</v>
      </c>
      <c r="O40" s="2246">
        <v>0</v>
      </c>
      <c r="P40" s="2246">
        <v>0</v>
      </c>
      <c r="Q40" s="781">
        <v>0</v>
      </c>
      <c r="R40" s="781">
        <v>0</v>
      </c>
      <c r="S40" s="781">
        <v>0</v>
      </c>
      <c r="T40" s="781">
        <v>0</v>
      </c>
      <c r="U40" s="781">
        <v>0</v>
      </c>
      <c r="V40" s="781">
        <v>0</v>
      </c>
      <c r="W40" s="781">
        <v>0</v>
      </c>
      <c r="X40" s="781">
        <v>0</v>
      </c>
      <c r="Y40" s="781">
        <v>0</v>
      </c>
      <c r="Z40" s="781">
        <v>0</v>
      </c>
      <c r="AA40" s="2246">
        <v>0</v>
      </c>
      <c r="AB40" s="2456">
        <v>0</v>
      </c>
      <c r="AC40" s="781">
        <v>0</v>
      </c>
      <c r="AD40" s="781">
        <v>0</v>
      </c>
      <c r="AE40" s="781">
        <v>0</v>
      </c>
      <c r="AF40" s="781">
        <v>0</v>
      </c>
      <c r="AG40" s="781">
        <v>0</v>
      </c>
      <c r="AH40" s="781">
        <v>0</v>
      </c>
      <c r="AI40" s="781">
        <v>0</v>
      </c>
      <c r="AJ40" s="781">
        <v>0</v>
      </c>
      <c r="AK40" s="781">
        <v>0</v>
      </c>
      <c r="AL40" s="781">
        <v>0</v>
      </c>
      <c r="AM40" s="491"/>
      <c r="AN40" s="358"/>
      <c r="AO40" s="358"/>
      <c r="AP40" s="358"/>
    </row>
    <row r="41" spans="1:42">
      <c r="A41" s="1037" t="s">
        <v>316</v>
      </c>
      <c r="B41" s="1500" t="s">
        <v>321</v>
      </c>
      <c r="C41" s="2246">
        <v>9</v>
      </c>
      <c r="D41" s="2456">
        <v>12</v>
      </c>
      <c r="E41" s="781">
        <v>0</v>
      </c>
      <c r="F41" s="781">
        <v>0</v>
      </c>
      <c r="G41" s="781">
        <v>0</v>
      </c>
      <c r="H41" s="781">
        <v>0</v>
      </c>
      <c r="I41" s="781">
        <v>0</v>
      </c>
      <c r="J41" s="781">
        <v>0</v>
      </c>
      <c r="K41" s="781">
        <v>0</v>
      </c>
      <c r="L41" s="781">
        <v>0</v>
      </c>
      <c r="M41" s="781">
        <v>0</v>
      </c>
      <c r="N41" s="781">
        <v>0</v>
      </c>
      <c r="O41" s="2246">
        <v>1</v>
      </c>
      <c r="P41" s="2246">
        <v>1</v>
      </c>
      <c r="Q41" s="781">
        <v>0</v>
      </c>
      <c r="R41" s="781">
        <v>0</v>
      </c>
      <c r="S41" s="781">
        <v>0</v>
      </c>
      <c r="T41" s="781">
        <v>0</v>
      </c>
      <c r="U41" s="781">
        <v>0</v>
      </c>
      <c r="V41" s="781">
        <v>0</v>
      </c>
      <c r="W41" s="781">
        <v>0</v>
      </c>
      <c r="X41" s="781">
        <v>0</v>
      </c>
      <c r="Y41" s="781">
        <v>0</v>
      </c>
      <c r="Z41" s="781">
        <v>0</v>
      </c>
      <c r="AA41" s="2246">
        <v>1</v>
      </c>
      <c r="AB41" s="2456">
        <v>1</v>
      </c>
      <c r="AC41" s="781">
        <v>0</v>
      </c>
      <c r="AD41" s="781">
        <v>0</v>
      </c>
      <c r="AE41" s="781">
        <v>0</v>
      </c>
      <c r="AF41" s="781">
        <v>0</v>
      </c>
      <c r="AG41" s="781">
        <v>0</v>
      </c>
      <c r="AH41" s="781">
        <v>0</v>
      </c>
      <c r="AI41" s="781">
        <v>0</v>
      </c>
      <c r="AJ41" s="781">
        <v>0</v>
      </c>
      <c r="AK41" s="781">
        <v>0</v>
      </c>
      <c r="AL41" s="781">
        <v>0</v>
      </c>
      <c r="AM41" s="491"/>
      <c r="AN41" s="358"/>
      <c r="AO41" s="358"/>
      <c r="AP41" s="358"/>
    </row>
    <row r="42" spans="1:42">
      <c r="A42" s="1037" t="s">
        <v>320</v>
      </c>
      <c r="B42" s="1500" t="s">
        <v>323</v>
      </c>
      <c r="C42" s="2246">
        <v>111</v>
      </c>
      <c r="D42" s="2456">
        <v>105</v>
      </c>
      <c r="E42" s="781">
        <v>0</v>
      </c>
      <c r="F42" s="781">
        <v>0</v>
      </c>
      <c r="G42" s="781">
        <v>0</v>
      </c>
      <c r="H42" s="781">
        <v>0</v>
      </c>
      <c r="I42" s="781">
        <v>0</v>
      </c>
      <c r="J42" s="781">
        <v>0</v>
      </c>
      <c r="K42" s="781">
        <v>0</v>
      </c>
      <c r="L42" s="781">
        <v>0</v>
      </c>
      <c r="M42" s="781">
        <v>0</v>
      </c>
      <c r="N42" s="781">
        <v>0</v>
      </c>
      <c r="O42" s="2246">
        <v>4</v>
      </c>
      <c r="P42" s="2246">
        <v>4</v>
      </c>
      <c r="Q42" s="781">
        <v>0</v>
      </c>
      <c r="R42" s="781">
        <v>0</v>
      </c>
      <c r="S42" s="781">
        <v>0</v>
      </c>
      <c r="T42" s="781">
        <v>0</v>
      </c>
      <c r="U42" s="781">
        <v>0</v>
      </c>
      <c r="V42" s="781">
        <v>0</v>
      </c>
      <c r="W42" s="781">
        <v>0</v>
      </c>
      <c r="X42" s="781">
        <v>0</v>
      </c>
      <c r="Y42" s="781">
        <v>0</v>
      </c>
      <c r="Z42" s="781">
        <v>0</v>
      </c>
      <c r="AA42" s="2246">
        <v>9</v>
      </c>
      <c r="AB42" s="2456">
        <v>8</v>
      </c>
      <c r="AC42" s="781">
        <v>0</v>
      </c>
      <c r="AD42" s="781">
        <v>0</v>
      </c>
      <c r="AE42" s="781">
        <v>0</v>
      </c>
      <c r="AF42" s="781">
        <v>0</v>
      </c>
      <c r="AG42" s="781">
        <v>0</v>
      </c>
      <c r="AH42" s="781">
        <v>0</v>
      </c>
      <c r="AI42" s="781">
        <v>0</v>
      </c>
      <c r="AJ42" s="781">
        <v>0</v>
      </c>
      <c r="AK42" s="781">
        <v>0</v>
      </c>
      <c r="AL42" s="781">
        <v>0</v>
      </c>
      <c r="AM42" s="491"/>
      <c r="AN42" s="358"/>
      <c r="AO42" s="358"/>
      <c r="AP42" s="358"/>
    </row>
    <row r="43" spans="1:42">
      <c r="A43" s="1037" t="s">
        <v>322</v>
      </c>
      <c r="B43" s="1499" t="s">
        <v>846</v>
      </c>
      <c r="C43" s="2246">
        <v>10</v>
      </c>
      <c r="D43" s="2456">
        <v>5</v>
      </c>
      <c r="E43" s="781">
        <v>0</v>
      </c>
      <c r="F43" s="781">
        <v>0</v>
      </c>
      <c r="G43" s="781">
        <v>0</v>
      </c>
      <c r="H43" s="781">
        <v>0</v>
      </c>
      <c r="I43" s="781">
        <v>0</v>
      </c>
      <c r="J43" s="781">
        <v>0</v>
      </c>
      <c r="K43" s="781">
        <v>0</v>
      </c>
      <c r="L43" s="781">
        <v>0</v>
      </c>
      <c r="M43" s="781">
        <v>0</v>
      </c>
      <c r="N43" s="781">
        <v>0</v>
      </c>
      <c r="O43" s="2246"/>
      <c r="P43" s="2246"/>
      <c r="Q43" s="781">
        <v>0</v>
      </c>
      <c r="R43" s="781">
        <v>0</v>
      </c>
      <c r="S43" s="781">
        <v>0</v>
      </c>
      <c r="T43" s="781">
        <v>0</v>
      </c>
      <c r="U43" s="781">
        <v>0</v>
      </c>
      <c r="V43" s="781">
        <v>0</v>
      </c>
      <c r="W43" s="781">
        <v>0</v>
      </c>
      <c r="X43" s="781">
        <v>0</v>
      </c>
      <c r="Y43" s="781">
        <v>0</v>
      </c>
      <c r="Z43" s="781">
        <v>0</v>
      </c>
      <c r="AA43" s="2246">
        <v>0</v>
      </c>
      <c r="AB43" s="2456">
        <v>0</v>
      </c>
      <c r="AC43" s="781">
        <v>0</v>
      </c>
      <c r="AD43" s="781">
        <v>0</v>
      </c>
      <c r="AE43" s="781">
        <v>0</v>
      </c>
      <c r="AF43" s="781">
        <v>0</v>
      </c>
      <c r="AG43" s="781">
        <v>0</v>
      </c>
      <c r="AH43" s="781">
        <v>0</v>
      </c>
      <c r="AI43" s="781">
        <v>0</v>
      </c>
      <c r="AJ43" s="781">
        <v>0</v>
      </c>
      <c r="AK43" s="781">
        <v>0</v>
      </c>
      <c r="AL43" s="781">
        <v>0</v>
      </c>
      <c r="AM43" s="491"/>
      <c r="AN43" s="358"/>
      <c r="AO43" s="358"/>
      <c r="AP43" s="358"/>
    </row>
    <row r="44" spans="1:42">
      <c r="A44" s="1037" t="s">
        <v>324</v>
      </c>
      <c r="B44" s="1499" t="s">
        <v>919</v>
      </c>
      <c r="C44" s="2246">
        <v>36</v>
      </c>
      <c r="D44" s="2456">
        <v>40</v>
      </c>
      <c r="E44" s="781">
        <v>0</v>
      </c>
      <c r="F44" s="781">
        <v>0</v>
      </c>
      <c r="G44" s="781">
        <v>0</v>
      </c>
      <c r="H44" s="781">
        <v>0</v>
      </c>
      <c r="I44" s="781">
        <v>0</v>
      </c>
      <c r="J44" s="781">
        <v>0</v>
      </c>
      <c r="K44" s="781">
        <v>0</v>
      </c>
      <c r="L44" s="781">
        <v>0</v>
      </c>
      <c r="M44" s="781">
        <v>0</v>
      </c>
      <c r="N44" s="781">
        <v>0</v>
      </c>
      <c r="O44" s="2246">
        <v>7</v>
      </c>
      <c r="P44" s="2246">
        <v>2</v>
      </c>
      <c r="Q44" s="781">
        <v>0</v>
      </c>
      <c r="R44" s="781">
        <v>0</v>
      </c>
      <c r="S44" s="781">
        <v>0</v>
      </c>
      <c r="T44" s="781">
        <v>0</v>
      </c>
      <c r="U44" s="781">
        <v>0</v>
      </c>
      <c r="V44" s="781">
        <v>0</v>
      </c>
      <c r="W44" s="781">
        <v>0</v>
      </c>
      <c r="X44" s="781">
        <v>0</v>
      </c>
      <c r="Y44" s="781">
        <v>0</v>
      </c>
      <c r="Z44" s="781">
        <v>0</v>
      </c>
      <c r="AA44" s="2246">
        <v>1</v>
      </c>
      <c r="AB44" s="2456">
        <v>0</v>
      </c>
      <c r="AC44" s="781">
        <v>0</v>
      </c>
      <c r="AD44" s="781">
        <v>0</v>
      </c>
      <c r="AE44" s="781">
        <v>0</v>
      </c>
      <c r="AF44" s="781">
        <v>0</v>
      </c>
      <c r="AG44" s="781">
        <v>0</v>
      </c>
      <c r="AH44" s="781">
        <v>0</v>
      </c>
      <c r="AI44" s="781">
        <v>0</v>
      </c>
      <c r="AJ44" s="781">
        <v>0</v>
      </c>
      <c r="AK44" s="781">
        <v>0</v>
      </c>
      <c r="AL44" s="781">
        <v>0</v>
      </c>
      <c r="AM44" s="491"/>
      <c r="AN44" s="358"/>
      <c r="AO44" s="358"/>
      <c r="AP44" s="358"/>
    </row>
    <row r="45" spans="1:42">
      <c r="A45" s="1037" t="s">
        <v>326</v>
      </c>
      <c r="B45" s="1036" t="s">
        <v>619</v>
      </c>
      <c r="C45" s="2246">
        <v>13</v>
      </c>
      <c r="D45" s="2456">
        <v>3</v>
      </c>
      <c r="E45" s="781">
        <v>0</v>
      </c>
      <c r="F45" s="781">
        <v>0</v>
      </c>
      <c r="G45" s="781">
        <v>0</v>
      </c>
      <c r="H45" s="781">
        <v>0</v>
      </c>
      <c r="I45" s="781">
        <v>0</v>
      </c>
      <c r="J45" s="781">
        <v>0</v>
      </c>
      <c r="K45" s="781">
        <v>0</v>
      </c>
      <c r="L45" s="781">
        <v>0</v>
      </c>
      <c r="M45" s="781">
        <v>0</v>
      </c>
      <c r="N45" s="781">
        <v>0</v>
      </c>
      <c r="O45" s="2246">
        <v>2</v>
      </c>
      <c r="P45" s="2246"/>
      <c r="Q45" s="781">
        <v>0</v>
      </c>
      <c r="R45" s="781">
        <v>0</v>
      </c>
      <c r="S45" s="781">
        <v>0</v>
      </c>
      <c r="T45" s="781">
        <v>0</v>
      </c>
      <c r="U45" s="781">
        <v>0</v>
      </c>
      <c r="V45" s="781">
        <v>0</v>
      </c>
      <c r="W45" s="781">
        <v>0</v>
      </c>
      <c r="X45" s="781">
        <v>0</v>
      </c>
      <c r="Y45" s="781">
        <v>0</v>
      </c>
      <c r="Z45" s="781">
        <v>0</v>
      </c>
      <c r="AA45" s="2246">
        <v>2</v>
      </c>
      <c r="AB45" s="2456">
        <v>1</v>
      </c>
      <c r="AC45" s="781">
        <v>0</v>
      </c>
      <c r="AD45" s="781">
        <v>0</v>
      </c>
      <c r="AE45" s="781">
        <v>0</v>
      </c>
      <c r="AF45" s="781">
        <v>0</v>
      </c>
      <c r="AG45" s="781">
        <v>0</v>
      </c>
      <c r="AH45" s="781">
        <v>0</v>
      </c>
      <c r="AI45" s="781">
        <v>0</v>
      </c>
      <c r="AJ45" s="781">
        <v>0</v>
      </c>
      <c r="AK45" s="781">
        <v>0</v>
      </c>
      <c r="AL45" s="781">
        <v>0</v>
      </c>
    </row>
    <row r="46" spans="1:42">
      <c r="A46" s="1037" t="s">
        <v>620</v>
      </c>
      <c r="B46" s="1499" t="s">
        <v>859</v>
      </c>
      <c r="C46" s="2246">
        <v>365</v>
      </c>
      <c r="D46" s="2456">
        <v>285</v>
      </c>
      <c r="E46" s="781">
        <v>0</v>
      </c>
      <c r="F46" s="781">
        <v>0</v>
      </c>
      <c r="G46" s="781">
        <v>0</v>
      </c>
      <c r="H46" s="781">
        <v>0</v>
      </c>
      <c r="I46" s="781">
        <v>0</v>
      </c>
      <c r="J46" s="781">
        <v>0</v>
      </c>
      <c r="K46" s="781">
        <v>0</v>
      </c>
      <c r="L46" s="781">
        <v>0</v>
      </c>
      <c r="M46" s="781">
        <v>0</v>
      </c>
      <c r="N46" s="781">
        <v>0</v>
      </c>
      <c r="O46" s="2246">
        <v>1</v>
      </c>
      <c r="P46" s="2246">
        <v>2</v>
      </c>
      <c r="Q46" s="781">
        <v>0</v>
      </c>
      <c r="R46" s="781">
        <v>0</v>
      </c>
      <c r="S46" s="781">
        <v>0</v>
      </c>
      <c r="T46" s="781">
        <v>0</v>
      </c>
      <c r="U46" s="781">
        <v>0</v>
      </c>
      <c r="V46" s="781">
        <v>0</v>
      </c>
      <c r="W46" s="781">
        <v>0</v>
      </c>
      <c r="X46" s="781">
        <v>0</v>
      </c>
      <c r="Y46" s="781">
        <v>0</v>
      </c>
      <c r="Z46" s="781">
        <v>0</v>
      </c>
      <c r="AA46" s="2246">
        <v>7</v>
      </c>
      <c r="AB46" s="2456">
        <v>0</v>
      </c>
      <c r="AC46" s="781">
        <v>0</v>
      </c>
      <c r="AD46" s="781">
        <v>0</v>
      </c>
      <c r="AE46" s="781">
        <v>0</v>
      </c>
      <c r="AF46" s="781">
        <v>0</v>
      </c>
      <c r="AG46" s="781">
        <v>0</v>
      </c>
      <c r="AH46" s="781">
        <v>0</v>
      </c>
      <c r="AI46" s="781">
        <v>0</v>
      </c>
      <c r="AJ46" s="781">
        <v>0</v>
      </c>
      <c r="AK46" s="781">
        <v>0</v>
      </c>
      <c r="AL46" s="781">
        <v>0</v>
      </c>
    </row>
    <row r="47" spans="1:42">
      <c r="A47" s="1051">
        <v>2.15</v>
      </c>
      <c r="B47" s="1499" t="s">
        <v>847</v>
      </c>
      <c r="C47" s="3054"/>
      <c r="D47" s="3055"/>
      <c r="E47" s="3055"/>
      <c r="F47" s="3056"/>
      <c r="G47" s="3055"/>
      <c r="H47" s="3056"/>
      <c r="I47" s="3055"/>
      <c r="J47" s="3056"/>
      <c r="K47" s="3055"/>
      <c r="L47" s="3056"/>
      <c r="M47" s="3055"/>
      <c r="N47" s="3056"/>
      <c r="O47" s="3054"/>
      <c r="P47" s="3055"/>
      <c r="Q47" s="3057"/>
      <c r="R47" s="3054"/>
      <c r="S47" s="3057"/>
      <c r="T47" s="3054"/>
      <c r="U47" s="3057"/>
      <c r="V47" s="3054"/>
      <c r="W47" s="3057"/>
      <c r="X47" s="3054"/>
      <c r="Y47" s="3057"/>
      <c r="Z47" s="3054"/>
      <c r="AA47" s="2246">
        <v>0</v>
      </c>
      <c r="AB47" s="2456">
        <v>0</v>
      </c>
      <c r="AC47" s="781">
        <v>0</v>
      </c>
      <c r="AD47" s="781">
        <v>0</v>
      </c>
      <c r="AE47" s="781">
        <v>0</v>
      </c>
      <c r="AF47" s="781">
        <v>0</v>
      </c>
      <c r="AG47" s="781">
        <v>0</v>
      </c>
      <c r="AH47" s="781">
        <v>0</v>
      </c>
      <c r="AI47" s="781">
        <v>0</v>
      </c>
      <c r="AJ47" s="781">
        <v>0</v>
      </c>
      <c r="AK47" s="781">
        <v>0</v>
      </c>
      <c r="AL47" s="781">
        <v>0</v>
      </c>
    </row>
    <row r="48" spans="1:42">
      <c r="A48" s="1052">
        <v>2.16</v>
      </c>
      <c r="B48" s="1038" t="s">
        <v>1000</v>
      </c>
      <c r="C48" s="3058"/>
      <c r="D48" s="3055"/>
      <c r="E48" s="3055"/>
      <c r="F48" s="3056"/>
      <c r="G48" s="3055"/>
      <c r="H48" s="3056"/>
      <c r="I48" s="3055"/>
      <c r="J48" s="3056"/>
      <c r="K48" s="3055"/>
      <c r="L48" s="3056"/>
      <c r="M48" s="3055"/>
      <c r="N48" s="3056"/>
      <c r="O48" s="3058"/>
      <c r="P48" s="3055"/>
      <c r="Q48" s="3057"/>
      <c r="R48" s="3054"/>
      <c r="S48" s="3057"/>
      <c r="T48" s="3054"/>
      <c r="U48" s="3057"/>
      <c r="V48" s="3054"/>
      <c r="W48" s="3057"/>
      <c r="X48" s="3054"/>
      <c r="Y48" s="3057"/>
      <c r="Z48" s="3054"/>
      <c r="AA48" s="2246">
        <v>0</v>
      </c>
      <c r="AB48" s="2456">
        <v>0</v>
      </c>
      <c r="AC48" s="781">
        <v>0</v>
      </c>
      <c r="AD48" s="781">
        <v>0</v>
      </c>
      <c r="AE48" s="781">
        <v>0</v>
      </c>
      <c r="AF48" s="781">
        <v>0</v>
      </c>
      <c r="AG48" s="781">
        <v>0</v>
      </c>
      <c r="AH48" s="781">
        <v>0</v>
      </c>
      <c r="AI48" s="781">
        <v>0</v>
      </c>
      <c r="AJ48" s="781">
        <v>0</v>
      </c>
      <c r="AK48" s="781">
        <v>0</v>
      </c>
      <c r="AL48" s="781">
        <v>0</v>
      </c>
    </row>
    <row r="49" spans="1:42">
      <c r="A49" s="1052">
        <v>2.17</v>
      </c>
      <c r="B49" s="1038" t="s">
        <v>621</v>
      </c>
      <c r="C49" s="1039">
        <f>SUM(C50:C52)</f>
        <v>29</v>
      </c>
      <c r="D49" s="1184">
        <f t="shared" ref="D49" si="19">SUM(D50:D52)</f>
        <v>35</v>
      </c>
      <c r="E49" s="1040">
        <f t="shared" ref="E49:N49" si="20">SUM(E50:E52)</f>
        <v>0</v>
      </c>
      <c r="F49" s="1041">
        <f t="shared" si="20"/>
        <v>0</v>
      </c>
      <c r="G49" s="1040">
        <f t="shared" si="20"/>
        <v>0</v>
      </c>
      <c r="H49" s="1041">
        <f t="shared" si="20"/>
        <v>0</v>
      </c>
      <c r="I49" s="1040">
        <f t="shared" si="20"/>
        <v>0</v>
      </c>
      <c r="J49" s="1041">
        <f t="shared" si="20"/>
        <v>0</v>
      </c>
      <c r="K49" s="1040">
        <f t="shared" si="20"/>
        <v>0</v>
      </c>
      <c r="L49" s="1041">
        <f t="shared" si="20"/>
        <v>0</v>
      </c>
      <c r="M49" s="1040">
        <f t="shared" si="20"/>
        <v>0</v>
      </c>
      <c r="N49" s="1041">
        <f t="shared" si="20"/>
        <v>0</v>
      </c>
      <c r="O49" s="1039">
        <f>SUM(O50:O52)</f>
        <v>1</v>
      </c>
      <c r="P49" s="1184">
        <f t="shared" ref="P49" si="21">SUM(P50:P52)</f>
        <v>1</v>
      </c>
      <c r="Q49" s="1040">
        <f t="shared" ref="Q49:Z49" si="22">SUM(Q50:Q52)</f>
        <v>0</v>
      </c>
      <c r="R49" s="1041">
        <f t="shared" si="22"/>
        <v>0</v>
      </c>
      <c r="S49" s="1040">
        <f t="shared" si="22"/>
        <v>0</v>
      </c>
      <c r="T49" s="1041">
        <f t="shared" si="22"/>
        <v>0</v>
      </c>
      <c r="U49" s="1040">
        <f t="shared" si="22"/>
        <v>0</v>
      </c>
      <c r="V49" s="1041">
        <f t="shared" si="22"/>
        <v>0</v>
      </c>
      <c r="W49" s="1040">
        <f t="shared" si="22"/>
        <v>0</v>
      </c>
      <c r="X49" s="1041">
        <f t="shared" si="22"/>
        <v>0</v>
      </c>
      <c r="Y49" s="1040">
        <f t="shared" si="22"/>
        <v>0</v>
      </c>
      <c r="Z49" s="1041">
        <f t="shared" si="22"/>
        <v>0</v>
      </c>
      <c r="AA49" s="1039">
        <f>SUM(AA50:AA52)</f>
        <v>1</v>
      </c>
      <c r="AB49" s="1184">
        <f t="shared" ref="AB49" si="23">SUM(AB50:AB52)</f>
        <v>252</v>
      </c>
      <c r="AC49" s="1040">
        <f t="shared" ref="AC49:AL49" si="24">SUM(AC50:AC52)</f>
        <v>0</v>
      </c>
      <c r="AD49" s="1041">
        <f t="shared" si="24"/>
        <v>0</v>
      </c>
      <c r="AE49" s="1040">
        <f t="shared" si="24"/>
        <v>0</v>
      </c>
      <c r="AF49" s="1041">
        <f t="shared" si="24"/>
        <v>0</v>
      </c>
      <c r="AG49" s="1040">
        <f t="shared" si="24"/>
        <v>0</v>
      </c>
      <c r="AH49" s="1041">
        <f t="shared" si="24"/>
        <v>0</v>
      </c>
      <c r="AI49" s="1040">
        <f t="shared" si="24"/>
        <v>0</v>
      </c>
      <c r="AJ49" s="1041">
        <f t="shared" si="24"/>
        <v>0</v>
      </c>
      <c r="AK49" s="1040">
        <f t="shared" si="24"/>
        <v>0</v>
      </c>
      <c r="AL49" s="1041">
        <f t="shared" si="24"/>
        <v>0</v>
      </c>
    </row>
    <row r="50" spans="1:42">
      <c r="A50" s="488" t="s">
        <v>1002</v>
      </c>
      <c r="B50" s="791" t="s">
        <v>1562</v>
      </c>
      <c r="C50" s="2246">
        <v>29</v>
      </c>
      <c r="D50" s="2456">
        <v>35</v>
      </c>
      <c r="E50" s="781">
        <v>0</v>
      </c>
      <c r="F50" s="781">
        <v>0</v>
      </c>
      <c r="G50" s="781">
        <v>0</v>
      </c>
      <c r="H50" s="781">
        <v>0</v>
      </c>
      <c r="I50" s="781">
        <v>0</v>
      </c>
      <c r="J50" s="781">
        <v>0</v>
      </c>
      <c r="K50" s="781">
        <v>0</v>
      </c>
      <c r="L50" s="781">
        <v>0</v>
      </c>
      <c r="M50" s="781">
        <v>0</v>
      </c>
      <c r="N50" s="781">
        <v>0</v>
      </c>
      <c r="O50" s="2246">
        <v>1</v>
      </c>
      <c r="P50" s="2246">
        <v>1</v>
      </c>
      <c r="Q50" s="781">
        <v>0</v>
      </c>
      <c r="R50" s="781">
        <v>0</v>
      </c>
      <c r="S50" s="781">
        <v>0</v>
      </c>
      <c r="T50" s="781">
        <v>0</v>
      </c>
      <c r="U50" s="781">
        <v>0</v>
      </c>
      <c r="V50" s="781">
        <v>0</v>
      </c>
      <c r="W50" s="781">
        <v>0</v>
      </c>
      <c r="X50" s="781">
        <v>0</v>
      </c>
      <c r="Y50" s="781">
        <v>0</v>
      </c>
      <c r="Z50" s="781">
        <v>0</v>
      </c>
      <c r="AA50" s="2246">
        <v>1</v>
      </c>
      <c r="AB50" s="2456">
        <v>2</v>
      </c>
      <c r="AC50" s="781">
        <v>0</v>
      </c>
      <c r="AD50" s="781">
        <v>0</v>
      </c>
      <c r="AE50" s="781">
        <v>0</v>
      </c>
      <c r="AF50" s="781">
        <v>0</v>
      </c>
      <c r="AG50" s="781">
        <v>0</v>
      </c>
      <c r="AH50" s="781">
        <v>0</v>
      </c>
      <c r="AI50" s="781">
        <v>0</v>
      </c>
      <c r="AJ50" s="781">
        <v>0</v>
      </c>
      <c r="AK50" s="781">
        <v>0</v>
      </c>
      <c r="AL50" s="781">
        <v>0</v>
      </c>
    </row>
    <row r="51" spans="1:42">
      <c r="A51" s="489" t="s">
        <v>1003</v>
      </c>
      <c r="B51" s="791" t="s">
        <v>1571</v>
      </c>
      <c r="C51" s="2246">
        <v>0</v>
      </c>
      <c r="D51" s="2246">
        <v>0</v>
      </c>
      <c r="E51" s="2246">
        <v>0</v>
      </c>
      <c r="F51" s="2246">
        <v>0</v>
      </c>
      <c r="G51" s="2246">
        <v>0</v>
      </c>
      <c r="H51" s="2246">
        <v>0</v>
      </c>
      <c r="I51" s="2246">
        <v>0</v>
      </c>
      <c r="J51" s="2246">
        <v>0</v>
      </c>
      <c r="K51" s="2246">
        <v>0</v>
      </c>
      <c r="L51" s="2246">
        <v>0</v>
      </c>
      <c r="M51" s="2246">
        <v>0</v>
      </c>
      <c r="N51" s="2246">
        <v>0</v>
      </c>
      <c r="O51" s="2246">
        <v>0</v>
      </c>
      <c r="P51" s="2246">
        <v>0</v>
      </c>
      <c r="Q51" s="2246">
        <v>0</v>
      </c>
      <c r="R51" s="2246">
        <v>0</v>
      </c>
      <c r="S51" s="2246">
        <v>0</v>
      </c>
      <c r="T51" s="2246">
        <v>0</v>
      </c>
      <c r="U51" s="2246">
        <v>0</v>
      </c>
      <c r="V51" s="2246">
        <v>0</v>
      </c>
      <c r="W51" s="2246">
        <v>0</v>
      </c>
      <c r="X51" s="2246">
        <v>0</v>
      </c>
      <c r="Y51" s="2246">
        <v>0</v>
      </c>
      <c r="Z51" s="2246">
        <v>0</v>
      </c>
      <c r="AA51" s="2246">
        <v>0</v>
      </c>
      <c r="AB51" s="2456">
        <v>250</v>
      </c>
      <c r="AC51" s="781">
        <v>0</v>
      </c>
      <c r="AD51" s="781">
        <v>0</v>
      </c>
      <c r="AE51" s="781">
        <v>0</v>
      </c>
      <c r="AF51" s="781">
        <v>0</v>
      </c>
      <c r="AG51" s="781">
        <v>0</v>
      </c>
      <c r="AH51" s="781">
        <v>0</v>
      </c>
      <c r="AI51" s="781">
        <v>0</v>
      </c>
      <c r="AJ51" s="781">
        <v>0</v>
      </c>
      <c r="AK51" s="781">
        <v>0</v>
      </c>
      <c r="AL51" s="781">
        <v>0</v>
      </c>
    </row>
    <row r="52" spans="1:42" ht="15.75" thickBot="1">
      <c r="A52" s="1053" t="s">
        <v>1004</v>
      </c>
      <c r="B52" s="791"/>
      <c r="C52" s="2246">
        <v>0</v>
      </c>
      <c r="D52" s="2246">
        <v>0</v>
      </c>
      <c r="E52" s="2246">
        <v>0</v>
      </c>
      <c r="F52" s="2246">
        <v>0</v>
      </c>
      <c r="G52" s="2246">
        <v>0</v>
      </c>
      <c r="H52" s="2246">
        <v>0</v>
      </c>
      <c r="I52" s="2246">
        <v>0</v>
      </c>
      <c r="J52" s="2246">
        <v>0</v>
      </c>
      <c r="K52" s="2246">
        <v>0</v>
      </c>
      <c r="L52" s="2246">
        <v>0</v>
      </c>
      <c r="M52" s="2246">
        <v>0</v>
      </c>
      <c r="N52" s="2246">
        <v>0</v>
      </c>
      <c r="O52" s="2246">
        <v>0</v>
      </c>
      <c r="P52" s="2246">
        <v>0</v>
      </c>
      <c r="Q52" s="2246">
        <v>0</v>
      </c>
      <c r="R52" s="2246">
        <v>0</v>
      </c>
      <c r="S52" s="2246">
        <v>0</v>
      </c>
      <c r="T52" s="2246">
        <v>0</v>
      </c>
      <c r="U52" s="2246">
        <v>0</v>
      </c>
      <c r="V52" s="2246">
        <v>0</v>
      </c>
      <c r="W52" s="2246">
        <v>0</v>
      </c>
      <c r="X52" s="2246">
        <v>0</v>
      </c>
      <c r="Y52" s="2246">
        <v>0</v>
      </c>
      <c r="Z52" s="2246">
        <v>0</v>
      </c>
      <c r="AA52" s="2246">
        <v>0</v>
      </c>
      <c r="AB52" s="2456">
        <v>0</v>
      </c>
      <c r="AC52" s="781">
        <v>0</v>
      </c>
      <c r="AD52" s="781">
        <v>0</v>
      </c>
      <c r="AE52" s="781">
        <v>0</v>
      </c>
      <c r="AF52" s="781">
        <v>0</v>
      </c>
      <c r="AG52" s="781">
        <v>0</v>
      </c>
      <c r="AH52" s="781">
        <v>0</v>
      </c>
      <c r="AI52" s="781">
        <v>0</v>
      </c>
      <c r="AJ52" s="781">
        <v>0</v>
      </c>
      <c r="AK52" s="781">
        <v>0</v>
      </c>
      <c r="AL52" s="781">
        <v>0</v>
      </c>
    </row>
    <row r="53" spans="1:42" ht="15.75" thickBot="1">
      <c r="A53" s="1054">
        <v>3</v>
      </c>
      <c r="B53" s="1055" t="s">
        <v>622</v>
      </c>
      <c r="C53" s="1047">
        <f>SUM(C54:C56)</f>
        <v>0</v>
      </c>
      <c r="D53" s="1075">
        <f t="shared" ref="D53" si="25">SUM(D54:D56)</f>
        <v>0</v>
      </c>
      <c r="E53" s="1048">
        <f t="shared" ref="E53:N53" si="26">SUM(E54:E56)</f>
        <v>0</v>
      </c>
      <c r="F53" s="1049">
        <f t="shared" si="26"/>
        <v>0</v>
      </c>
      <c r="G53" s="1048">
        <f t="shared" si="26"/>
        <v>0</v>
      </c>
      <c r="H53" s="1049">
        <f t="shared" si="26"/>
        <v>0</v>
      </c>
      <c r="I53" s="1048">
        <f t="shared" si="26"/>
        <v>0</v>
      </c>
      <c r="J53" s="1049">
        <f t="shared" si="26"/>
        <v>0</v>
      </c>
      <c r="K53" s="1048">
        <f t="shared" si="26"/>
        <v>0</v>
      </c>
      <c r="L53" s="1049">
        <f t="shared" si="26"/>
        <v>0</v>
      </c>
      <c r="M53" s="1048">
        <f t="shared" si="26"/>
        <v>0</v>
      </c>
      <c r="N53" s="1049">
        <f t="shared" si="26"/>
        <v>0</v>
      </c>
      <c r="O53" s="1047">
        <f>SUM(O54:O56)</f>
        <v>0</v>
      </c>
      <c r="P53" s="1075">
        <f t="shared" ref="P53" si="27">SUM(P54:P56)</f>
        <v>0</v>
      </c>
      <c r="Q53" s="1048">
        <f t="shared" ref="Q53:Z53" si="28">SUM(Q54:Q56)</f>
        <v>0</v>
      </c>
      <c r="R53" s="1049">
        <f t="shared" si="28"/>
        <v>0</v>
      </c>
      <c r="S53" s="1048">
        <f t="shared" si="28"/>
        <v>0</v>
      </c>
      <c r="T53" s="1049">
        <f t="shared" si="28"/>
        <v>0</v>
      </c>
      <c r="U53" s="1048">
        <f t="shared" si="28"/>
        <v>0</v>
      </c>
      <c r="V53" s="1049">
        <f t="shared" si="28"/>
        <v>0</v>
      </c>
      <c r="W53" s="1048">
        <f t="shared" si="28"/>
        <v>0</v>
      </c>
      <c r="X53" s="1049">
        <f t="shared" si="28"/>
        <v>0</v>
      </c>
      <c r="Y53" s="1048">
        <f t="shared" si="28"/>
        <v>0</v>
      </c>
      <c r="Z53" s="1049">
        <f t="shared" si="28"/>
        <v>0</v>
      </c>
      <c r="AA53" s="1047">
        <f>SUM(AA54:AA56)</f>
        <v>0</v>
      </c>
      <c r="AB53" s="1075">
        <f t="shared" ref="AB53" si="29">SUM(AB54:AB56)</f>
        <v>0</v>
      </c>
      <c r="AC53" s="1048">
        <f t="shared" ref="AC53:AL53" si="30">SUM(AC54:AC56)</f>
        <v>0</v>
      </c>
      <c r="AD53" s="1049">
        <f t="shared" si="30"/>
        <v>0</v>
      </c>
      <c r="AE53" s="1048">
        <f t="shared" si="30"/>
        <v>0</v>
      </c>
      <c r="AF53" s="1049">
        <f t="shared" si="30"/>
        <v>0</v>
      </c>
      <c r="AG53" s="1048">
        <f t="shared" si="30"/>
        <v>0</v>
      </c>
      <c r="AH53" s="1049">
        <f t="shared" si="30"/>
        <v>0</v>
      </c>
      <c r="AI53" s="1048">
        <f t="shared" si="30"/>
        <v>0</v>
      </c>
      <c r="AJ53" s="1049">
        <f t="shared" si="30"/>
        <v>0</v>
      </c>
      <c r="AK53" s="1048">
        <f t="shared" si="30"/>
        <v>0</v>
      </c>
      <c r="AL53" s="1049">
        <f t="shared" si="30"/>
        <v>0</v>
      </c>
      <c r="AM53" s="491"/>
      <c r="AN53" s="358"/>
      <c r="AO53" s="358"/>
      <c r="AP53" s="358"/>
    </row>
    <row r="54" spans="1:42">
      <c r="A54" s="1056" t="s">
        <v>327</v>
      </c>
      <c r="B54" s="1057" t="s">
        <v>623</v>
      </c>
      <c r="C54" s="3045"/>
      <c r="D54" s="3046"/>
      <c r="E54" s="3046"/>
      <c r="F54" s="3047"/>
      <c r="G54" s="3046"/>
      <c r="H54" s="3047"/>
      <c r="I54" s="3046"/>
      <c r="J54" s="3047"/>
      <c r="K54" s="3046"/>
      <c r="L54" s="3047"/>
      <c r="M54" s="3046"/>
      <c r="N54" s="3047"/>
      <c r="O54" s="3045"/>
      <c r="P54" s="3046"/>
      <c r="Q54" s="3046"/>
      <c r="R54" s="3047"/>
      <c r="S54" s="3046"/>
      <c r="T54" s="3047"/>
      <c r="U54" s="3046"/>
      <c r="V54" s="3047"/>
      <c r="W54" s="3046"/>
      <c r="X54" s="3047"/>
      <c r="Y54" s="3046"/>
      <c r="Z54" s="3047"/>
      <c r="AA54" s="3045"/>
      <c r="AB54" s="3046"/>
      <c r="AC54" s="3046"/>
      <c r="AD54" s="3047"/>
      <c r="AE54" s="3046"/>
      <c r="AF54" s="3047"/>
      <c r="AG54" s="3046"/>
      <c r="AH54" s="3047"/>
      <c r="AI54" s="3046"/>
      <c r="AJ54" s="3047"/>
      <c r="AK54" s="3046"/>
      <c r="AL54" s="3047"/>
      <c r="AM54" s="494"/>
      <c r="AN54" s="351"/>
      <c r="AO54" s="351"/>
      <c r="AP54" s="351"/>
    </row>
    <row r="55" spans="1:42" ht="24">
      <c r="A55" s="1058" t="s">
        <v>328</v>
      </c>
      <c r="B55" s="1057" t="s">
        <v>1005</v>
      </c>
      <c r="C55" s="3048"/>
      <c r="D55" s="3049"/>
      <c r="E55" s="3049"/>
      <c r="F55" s="3050"/>
      <c r="G55" s="3049"/>
      <c r="H55" s="3050"/>
      <c r="I55" s="3049"/>
      <c r="J55" s="3050"/>
      <c r="K55" s="3049"/>
      <c r="L55" s="3050"/>
      <c r="M55" s="3049"/>
      <c r="N55" s="3050"/>
      <c r="O55" s="3048"/>
      <c r="P55" s="3049"/>
      <c r="Q55" s="3049"/>
      <c r="R55" s="3050"/>
      <c r="S55" s="3049"/>
      <c r="T55" s="3050"/>
      <c r="U55" s="3049"/>
      <c r="V55" s="3050"/>
      <c r="W55" s="3049"/>
      <c r="X55" s="3050"/>
      <c r="Y55" s="3049"/>
      <c r="Z55" s="3050"/>
      <c r="AA55" s="3048"/>
      <c r="AB55" s="3049"/>
      <c r="AC55" s="3049"/>
      <c r="AD55" s="3050"/>
      <c r="AE55" s="3049"/>
      <c r="AF55" s="3050"/>
      <c r="AG55" s="3049"/>
      <c r="AH55" s="3050"/>
      <c r="AI55" s="3049"/>
      <c r="AJ55" s="3050"/>
      <c r="AK55" s="3049"/>
      <c r="AL55" s="3050"/>
      <c r="AM55" s="494"/>
      <c r="AN55" s="351"/>
      <c r="AO55" s="351"/>
      <c r="AP55" s="351"/>
    </row>
    <row r="56" spans="1:42" ht="24.75" thickBot="1">
      <c r="A56" s="1059" t="s">
        <v>675</v>
      </c>
      <c r="B56" s="1060" t="s">
        <v>1006</v>
      </c>
      <c r="C56" s="3051"/>
      <c r="D56" s="3052"/>
      <c r="E56" s="3052"/>
      <c r="F56" s="3053"/>
      <c r="G56" s="3052"/>
      <c r="H56" s="3053"/>
      <c r="I56" s="3052"/>
      <c r="J56" s="3053"/>
      <c r="K56" s="3052"/>
      <c r="L56" s="3053"/>
      <c r="M56" s="3052"/>
      <c r="N56" s="3053"/>
      <c r="O56" s="3051"/>
      <c r="P56" s="3052"/>
      <c r="Q56" s="3052"/>
      <c r="R56" s="3053"/>
      <c r="S56" s="3052"/>
      <c r="T56" s="3053"/>
      <c r="U56" s="3052"/>
      <c r="V56" s="3053"/>
      <c r="W56" s="3052"/>
      <c r="X56" s="3053"/>
      <c r="Y56" s="3052"/>
      <c r="Z56" s="3053"/>
      <c r="AA56" s="3051"/>
      <c r="AB56" s="3052"/>
      <c r="AC56" s="3052"/>
      <c r="AD56" s="3053"/>
      <c r="AE56" s="3052"/>
      <c r="AF56" s="3053"/>
      <c r="AG56" s="3052"/>
      <c r="AH56" s="3053"/>
      <c r="AI56" s="3052"/>
      <c r="AJ56" s="3053"/>
      <c r="AK56" s="3052"/>
      <c r="AL56" s="3053"/>
      <c r="AM56" s="491"/>
      <c r="AN56" s="358"/>
      <c r="AO56" s="358"/>
      <c r="AP56" s="358"/>
    </row>
    <row r="57" spans="1:42" ht="15.75" thickBot="1">
      <c r="A57" s="1054">
        <v>4</v>
      </c>
      <c r="B57" s="1055" t="s">
        <v>624</v>
      </c>
      <c r="C57" s="1047">
        <f t="shared" ref="C57:D57" si="31">SUM(C58:C60)</f>
        <v>3200</v>
      </c>
      <c r="D57" s="1075">
        <f t="shared" si="31"/>
        <v>3629</v>
      </c>
      <c r="E57" s="1048">
        <f t="shared" ref="E57:N57" si="32">SUM(E58:E60)</f>
        <v>1777</v>
      </c>
      <c r="F57" s="1049">
        <f t="shared" si="32"/>
        <v>0</v>
      </c>
      <c r="G57" s="1048">
        <f t="shared" si="32"/>
        <v>1961</v>
      </c>
      <c r="H57" s="1049">
        <f t="shared" si="32"/>
        <v>0</v>
      </c>
      <c r="I57" s="1048">
        <f t="shared" si="32"/>
        <v>1961</v>
      </c>
      <c r="J57" s="1049">
        <f t="shared" si="32"/>
        <v>0</v>
      </c>
      <c r="K57" s="1048">
        <f t="shared" si="32"/>
        <v>1961</v>
      </c>
      <c r="L57" s="1049">
        <f t="shared" si="32"/>
        <v>0</v>
      </c>
      <c r="M57" s="1048">
        <f t="shared" si="32"/>
        <v>2538</v>
      </c>
      <c r="N57" s="1049">
        <f t="shared" si="32"/>
        <v>0</v>
      </c>
      <c r="O57" s="1047">
        <f t="shared" ref="O57:P57" si="33">SUM(O58:O60)</f>
        <v>351</v>
      </c>
      <c r="P57" s="1075">
        <f t="shared" si="33"/>
        <v>370</v>
      </c>
      <c r="Q57" s="1048">
        <f t="shared" ref="Q57:Z57" si="34">SUM(Q58:Q60)</f>
        <v>26</v>
      </c>
      <c r="R57" s="1049">
        <f t="shared" si="34"/>
        <v>0</v>
      </c>
      <c r="S57" s="1048">
        <f t="shared" si="34"/>
        <v>26</v>
      </c>
      <c r="T57" s="1049">
        <f t="shared" si="34"/>
        <v>0</v>
      </c>
      <c r="U57" s="1048">
        <f t="shared" si="34"/>
        <v>58</v>
      </c>
      <c r="V57" s="1049">
        <f t="shared" si="34"/>
        <v>0</v>
      </c>
      <c r="W57" s="1048">
        <f t="shared" si="34"/>
        <v>63</v>
      </c>
      <c r="X57" s="1049">
        <f t="shared" si="34"/>
        <v>0</v>
      </c>
      <c r="Y57" s="1048">
        <f t="shared" si="34"/>
        <v>90</v>
      </c>
      <c r="Z57" s="1049">
        <f t="shared" si="34"/>
        <v>0</v>
      </c>
      <c r="AA57" s="1047">
        <f t="shared" ref="AA57:AB57" si="35">SUM(AA58:AA60)</f>
        <v>231</v>
      </c>
      <c r="AB57" s="1075">
        <f t="shared" si="35"/>
        <v>233</v>
      </c>
      <c r="AC57" s="1048">
        <f t="shared" ref="AC57:AL57" si="36">SUM(AC58:AC60)</f>
        <v>283</v>
      </c>
      <c r="AD57" s="1049">
        <f t="shared" si="36"/>
        <v>0</v>
      </c>
      <c r="AE57" s="1048">
        <f t="shared" si="36"/>
        <v>343</v>
      </c>
      <c r="AF57" s="1049">
        <f t="shared" si="36"/>
        <v>0</v>
      </c>
      <c r="AG57" s="1048">
        <f t="shared" si="36"/>
        <v>418</v>
      </c>
      <c r="AH57" s="1049">
        <f t="shared" si="36"/>
        <v>0</v>
      </c>
      <c r="AI57" s="1048">
        <f t="shared" si="36"/>
        <v>504</v>
      </c>
      <c r="AJ57" s="1049">
        <f t="shared" si="36"/>
        <v>0</v>
      </c>
      <c r="AK57" s="1048">
        <f t="shared" si="36"/>
        <v>504</v>
      </c>
      <c r="AL57" s="1049">
        <f t="shared" si="36"/>
        <v>0</v>
      </c>
      <c r="AM57" s="491"/>
      <c r="AN57" s="358"/>
      <c r="AO57" s="358"/>
      <c r="AP57" s="358"/>
    </row>
    <row r="58" spans="1:42">
      <c r="A58" s="1031" t="s">
        <v>113</v>
      </c>
      <c r="B58" s="1502" t="s">
        <v>329</v>
      </c>
      <c r="C58" s="2246">
        <v>3178</v>
      </c>
      <c r="D58" s="2456">
        <v>3598</v>
      </c>
      <c r="E58" s="781">
        <v>1777</v>
      </c>
      <c r="F58" s="791">
        <v>0</v>
      </c>
      <c r="G58" s="795">
        <v>1961</v>
      </c>
      <c r="H58" s="2420">
        <v>0</v>
      </c>
      <c r="I58" s="781">
        <v>1961</v>
      </c>
      <c r="J58" s="791">
        <v>0</v>
      </c>
      <c r="K58" s="795">
        <v>1961</v>
      </c>
      <c r="L58" s="2420">
        <v>0</v>
      </c>
      <c r="M58" s="781">
        <v>2538</v>
      </c>
      <c r="N58" s="791">
        <v>0</v>
      </c>
      <c r="O58" s="2246">
        <v>351</v>
      </c>
      <c r="P58" s="2246">
        <v>370</v>
      </c>
      <c r="Q58" s="781">
        <v>26</v>
      </c>
      <c r="R58" s="791">
        <v>0</v>
      </c>
      <c r="S58" s="781">
        <v>26</v>
      </c>
      <c r="T58" s="791">
        <v>0</v>
      </c>
      <c r="U58" s="795">
        <v>58</v>
      </c>
      <c r="V58" s="2420">
        <v>0</v>
      </c>
      <c r="W58" s="781">
        <v>63</v>
      </c>
      <c r="X58" s="791">
        <v>0</v>
      </c>
      <c r="Y58" s="795">
        <v>90</v>
      </c>
      <c r="Z58" s="2420">
        <v>0</v>
      </c>
      <c r="AA58" s="2246">
        <v>227</v>
      </c>
      <c r="AB58" s="2456">
        <v>229</v>
      </c>
      <c r="AC58" s="781">
        <v>283</v>
      </c>
      <c r="AD58" s="791">
        <v>0</v>
      </c>
      <c r="AE58" s="795">
        <v>343</v>
      </c>
      <c r="AF58" s="2420">
        <v>0</v>
      </c>
      <c r="AG58" s="781">
        <v>418</v>
      </c>
      <c r="AH58" s="791">
        <v>0</v>
      </c>
      <c r="AI58" s="795">
        <v>504</v>
      </c>
      <c r="AJ58" s="2420">
        <v>0</v>
      </c>
      <c r="AK58" s="781">
        <v>504</v>
      </c>
      <c r="AL58" s="791">
        <v>0</v>
      </c>
    </row>
    <row r="59" spans="1:42" ht="19.5" customHeight="1">
      <c r="A59" s="1031" t="s">
        <v>115</v>
      </c>
      <c r="B59" s="1061" t="s">
        <v>858</v>
      </c>
      <c r="C59" s="2246">
        <v>0</v>
      </c>
      <c r="D59" s="2246">
        <v>0</v>
      </c>
      <c r="E59" s="2246">
        <v>0</v>
      </c>
      <c r="F59" s="2246">
        <v>0</v>
      </c>
      <c r="G59" s="2246">
        <v>0</v>
      </c>
      <c r="H59" s="2246">
        <v>0</v>
      </c>
      <c r="I59" s="2246">
        <v>0</v>
      </c>
      <c r="J59" s="2246">
        <v>0</v>
      </c>
      <c r="K59" s="2246">
        <v>0</v>
      </c>
      <c r="L59" s="2246">
        <v>0</v>
      </c>
      <c r="M59" s="2246">
        <v>0</v>
      </c>
      <c r="N59" s="2246">
        <v>0</v>
      </c>
      <c r="O59" s="2246">
        <v>0</v>
      </c>
      <c r="P59" s="2246">
        <v>0</v>
      </c>
      <c r="Q59" s="2246">
        <v>0</v>
      </c>
      <c r="R59" s="2246">
        <v>0</v>
      </c>
      <c r="S59" s="2246">
        <v>0</v>
      </c>
      <c r="T59" s="2246">
        <v>0</v>
      </c>
      <c r="U59" s="2246">
        <v>0</v>
      </c>
      <c r="V59" s="2246">
        <v>0</v>
      </c>
      <c r="W59" s="2246">
        <v>0</v>
      </c>
      <c r="X59" s="2246">
        <v>0</v>
      </c>
      <c r="Y59" s="2246">
        <v>0</v>
      </c>
      <c r="Z59" s="2246">
        <v>0</v>
      </c>
      <c r="AA59" s="2246">
        <v>0</v>
      </c>
      <c r="AB59" s="2246">
        <v>0</v>
      </c>
      <c r="AC59" s="2246">
        <v>0</v>
      </c>
      <c r="AD59" s="2246">
        <v>0</v>
      </c>
      <c r="AE59" s="2246">
        <v>0</v>
      </c>
      <c r="AF59" s="2246">
        <v>0</v>
      </c>
      <c r="AG59" s="2246">
        <v>0</v>
      </c>
      <c r="AH59" s="2246">
        <v>0</v>
      </c>
      <c r="AI59" s="2246">
        <v>0</v>
      </c>
      <c r="AJ59" s="2246">
        <v>0</v>
      </c>
      <c r="AK59" s="2246">
        <v>0</v>
      </c>
      <c r="AL59" s="2246">
        <v>0</v>
      </c>
    </row>
    <row r="60" spans="1:42" ht="15.75" thickBot="1">
      <c r="A60" s="1031" t="s">
        <v>116</v>
      </c>
      <c r="B60" s="1503" t="s">
        <v>330</v>
      </c>
      <c r="C60" s="2246">
        <v>22</v>
      </c>
      <c r="D60" s="2456">
        <v>31</v>
      </c>
      <c r="E60" s="781">
        <v>0</v>
      </c>
      <c r="F60" s="781">
        <v>0</v>
      </c>
      <c r="G60" s="781">
        <v>0</v>
      </c>
      <c r="H60" s="781">
        <v>0</v>
      </c>
      <c r="I60" s="781">
        <v>0</v>
      </c>
      <c r="J60" s="781">
        <v>0</v>
      </c>
      <c r="K60" s="781">
        <v>0</v>
      </c>
      <c r="L60" s="781">
        <v>0</v>
      </c>
      <c r="M60" s="781">
        <v>0</v>
      </c>
      <c r="N60" s="2246">
        <v>0</v>
      </c>
      <c r="O60" s="2246">
        <v>0</v>
      </c>
      <c r="P60" s="2246">
        <v>0</v>
      </c>
      <c r="Q60" s="2246">
        <v>0</v>
      </c>
      <c r="R60" s="2246">
        <v>0</v>
      </c>
      <c r="S60" s="2246">
        <v>0</v>
      </c>
      <c r="T60" s="2246">
        <v>0</v>
      </c>
      <c r="U60" s="2246">
        <v>0</v>
      </c>
      <c r="V60" s="2246">
        <v>0</v>
      </c>
      <c r="W60" s="2246">
        <v>0</v>
      </c>
      <c r="X60" s="2246">
        <v>0</v>
      </c>
      <c r="Y60" s="2246">
        <v>0</v>
      </c>
      <c r="Z60" s="2246">
        <v>0</v>
      </c>
      <c r="AA60" s="2246">
        <v>4</v>
      </c>
      <c r="AB60" s="2456">
        <v>4</v>
      </c>
      <c r="AC60" s="781">
        <v>0</v>
      </c>
      <c r="AD60" s="781">
        <v>0</v>
      </c>
      <c r="AE60" s="781">
        <v>0</v>
      </c>
      <c r="AF60" s="781">
        <v>0</v>
      </c>
      <c r="AG60" s="781">
        <v>0</v>
      </c>
      <c r="AH60" s="781">
        <v>0</v>
      </c>
      <c r="AI60" s="781">
        <v>0</v>
      </c>
      <c r="AJ60" s="781">
        <v>0</v>
      </c>
      <c r="AK60" s="781">
        <v>0</v>
      </c>
      <c r="AL60" s="781">
        <v>0</v>
      </c>
    </row>
    <row r="61" spans="1:42" ht="15.75" thickBot="1">
      <c r="A61" s="1054">
        <v>5</v>
      </c>
      <c r="B61" s="1046" t="s">
        <v>625</v>
      </c>
      <c r="C61" s="1047">
        <f t="shared" ref="C61:D61" si="37">SUM(C62:C65)</f>
        <v>783</v>
      </c>
      <c r="D61" s="1075">
        <f t="shared" si="37"/>
        <v>1049</v>
      </c>
      <c r="E61" s="1048">
        <f t="shared" ref="E61:N61" si="38">SUM(E62:E65)</f>
        <v>507</v>
      </c>
      <c r="F61" s="1049">
        <f t="shared" si="38"/>
        <v>0</v>
      </c>
      <c r="G61" s="1048">
        <f t="shared" si="38"/>
        <v>523</v>
      </c>
      <c r="H61" s="1049">
        <f t="shared" si="38"/>
        <v>0</v>
      </c>
      <c r="I61" s="1048">
        <f t="shared" si="38"/>
        <v>553</v>
      </c>
      <c r="J61" s="1049">
        <f t="shared" si="38"/>
        <v>0</v>
      </c>
      <c r="K61" s="1048">
        <f t="shared" si="38"/>
        <v>553</v>
      </c>
      <c r="L61" s="1049">
        <f t="shared" si="38"/>
        <v>0</v>
      </c>
      <c r="M61" s="1048">
        <f t="shared" si="38"/>
        <v>703</v>
      </c>
      <c r="N61" s="1049">
        <f t="shared" si="38"/>
        <v>0</v>
      </c>
      <c r="O61" s="1047">
        <f t="shared" ref="O61:P61" si="39">SUM(O62:O65)</f>
        <v>114</v>
      </c>
      <c r="P61" s="1075">
        <f t="shared" si="39"/>
        <v>117</v>
      </c>
      <c r="Q61" s="1048">
        <f t="shared" ref="Q61:Z61" si="40">SUM(Q62:Q65)</f>
        <v>15</v>
      </c>
      <c r="R61" s="1049">
        <f t="shared" si="40"/>
        <v>-31</v>
      </c>
      <c r="S61" s="1048">
        <f t="shared" si="40"/>
        <v>15</v>
      </c>
      <c r="T61" s="1049">
        <f t="shared" si="40"/>
        <v>-31</v>
      </c>
      <c r="U61" s="1048">
        <f t="shared" si="40"/>
        <v>18</v>
      </c>
      <c r="V61" s="1049">
        <f t="shared" si="40"/>
        <v>-25</v>
      </c>
      <c r="W61" s="1048">
        <f t="shared" si="40"/>
        <v>18</v>
      </c>
      <c r="X61" s="1049">
        <f t="shared" si="40"/>
        <v>-25</v>
      </c>
      <c r="Y61" s="1048">
        <f t="shared" si="40"/>
        <v>20</v>
      </c>
      <c r="Z61" s="1049">
        <f t="shared" si="40"/>
        <v>-20</v>
      </c>
      <c r="AA61" s="1047">
        <f t="shared" ref="AA61:AB61" si="41">SUM(AA62:AA65)</f>
        <v>60</v>
      </c>
      <c r="AB61" s="1075">
        <f t="shared" si="41"/>
        <v>67</v>
      </c>
      <c r="AC61" s="1048">
        <f t="shared" ref="AC61:AL61" si="42">SUM(AC62:AC65)</f>
        <v>73</v>
      </c>
      <c r="AD61" s="1049">
        <f t="shared" si="42"/>
        <v>0</v>
      </c>
      <c r="AE61" s="1048">
        <f t="shared" si="42"/>
        <v>89</v>
      </c>
      <c r="AF61" s="1049">
        <f t="shared" si="42"/>
        <v>0</v>
      </c>
      <c r="AG61" s="1048">
        <f t="shared" si="42"/>
        <v>108</v>
      </c>
      <c r="AH61" s="1049">
        <f t="shared" si="42"/>
        <v>0</v>
      </c>
      <c r="AI61" s="1048">
        <f t="shared" si="42"/>
        <v>130</v>
      </c>
      <c r="AJ61" s="1049">
        <f t="shared" si="42"/>
        <v>0</v>
      </c>
      <c r="AK61" s="1048">
        <f t="shared" si="42"/>
        <v>130</v>
      </c>
      <c r="AL61" s="1049">
        <f t="shared" si="42"/>
        <v>0</v>
      </c>
    </row>
    <row r="62" spans="1:42">
      <c r="A62" s="1031" t="s">
        <v>119</v>
      </c>
      <c r="B62" s="1502" t="s">
        <v>848</v>
      </c>
      <c r="C62" s="2246">
        <v>567</v>
      </c>
      <c r="D62" s="2456">
        <v>689</v>
      </c>
      <c r="E62" s="781">
        <v>326</v>
      </c>
      <c r="F62" s="791">
        <v>0</v>
      </c>
      <c r="G62" s="795">
        <v>328</v>
      </c>
      <c r="H62" s="2420">
        <v>0</v>
      </c>
      <c r="I62" s="781">
        <v>358</v>
      </c>
      <c r="J62" s="791">
        <v>0</v>
      </c>
      <c r="K62" s="795">
        <v>358</v>
      </c>
      <c r="L62" s="2420">
        <v>0</v>
      </c>
      <c r="M62" s="781">
        <v>462</v>
      </c>
      <c r="N62" s="791">
        <v>0</v>
      </c>
      <c r="O62" s="2246">
        <v>99</v>
      </c>
      <c r="P62" s="2246">
        <v>80</v>
      </c>
      <c r="Q62" s="781">
        <v>0</v>
      </c>
      <c r="R62" s="791">
        <v>-31</v>
      </c>
      <c r="S62" s="781">
        <v>0</v>
      </c>
      <c r="T62" s="791">
        <v>-31</v>
      </c>
      <c r="U62" s="795">
        <v>0</v>
      </c>
      <c r="V62" s="2420">
        <v>-25</v>
      </c>
      <c r="W62" s="781">
        <v>0</v>
      </c>
      <c r="X62" s="791">
        <v>-25</v>
      </c>
      <c r="Y62" s="795">
        <v>0</v>
      </c>
      <c r="Z62" s="2420">
        <v>-20</v>
      </c>
      <c r="AA62" s="2246">
        <v>46</v>
      </c>
      <c r="AB62" s="2456">
        <v>44</v>
      </c>
      <c r="AC62" s="781">
        <v>46</v>
      </c>
      <c r="AD62" s="791">
        <v>0</v>
      </c>
      <c r="AE62" s="795">
        <v>57</v>
      </c>
      <c r="AF62" s="2420">
        <v>0</v>
      </c>
      <c r="AG62" s="781">
        <v>70</v>
      </c>
      <c r="AH62" s="791">
        <v>0</v>
      </c>
      <c r="AI62" s="795">
        <v>86</v>
      </c>
      <c r="AJ62" s="2420">
        <v>0</v>
      </c>
      <c r="AK62" s="781">
        <v>86</v>
      </c>
      <c r="AL62" s="791">
        <v>0</v>
      </c>
    </row>
    <row r="63" spans="1:42">
      <c r="A63" s="1031" t="s">
        <v>124</v>
      </c>
      <c r="B63" s="1504" t="s">
        <v>857</v>
      </c>
      <c r="C63" s="2246">
        <v>0</v>
      </c>
      <c r="D63" s="2246">
        <v>0</v>
      </c>
      <c r="E63" s="2246">
        <v>0</v>
      </c>
      <c r="F63" s="2246">
        <v>0</v>
      </c>
      <c r="G63" s="2246">
        <v>0</v>
      </c>
      <c r="H63" s="2246">
        <v>0</v>
      </c>
      <c r="I63" s="2246">
        <v>0</v>
      </c>
      <c r="J63" s="2246">
        <v>0</v>
      </c>
      <c r="K63" s="2246">
        <v>0</v>
      </c>
      <c r="L63" s="2246">
        <v>0</v>
      </c>
      <c r="M63" s="2246">
        <v>0</v>
      </c>
      <c r="N63" s="2246">
        <v>0</v>
      </c>
      <c r="O63" s="2246">
        <v>0</v>
      </c>
      <c r="P63" s="2246">
        <v>0</v>
      </c>
      <c r="Q63" s="2246">
        <v>0</v>
      </c>
      <c r="R63" s="2246">
        <v>0</v>
      </c>
      <c r="S63" s="781">
        <v>0</v>
      </c>
      <c r="T63" s="791">
        <v>0</v>
      </c>
      <c r="U63" s="795">
        <v>0</v>
      </c>
      <c r="V63" s="2420">
        <v>0</v>
      </c>
      <c r="W63" s="781">
        <v>0</v>
      </c>
      <c r="X63" s="791">
        <v>0</v>
      </c>
      <c r="Y63" s="795">
        <v>0</v>
      </c>
      <c r="Z63" s="2420">
        <v>0</v>
      </c>
      <c r="AA63" s="2246">
        <v>0</v>
      </c>
      <c r="AB63" s="2456">
        <v>0</v>
      </c>
      <c r="AC63" s="781">
        <v>0</v>
      </c>
      <c r="AD63" s="791">
        <v>0</v>
      </c>
      <c r="AE63" s="795">
        <v>0</v>
      </c>
      <c r="AF63" s="2420">
        <v>0</v>
      </c>
      <c r="AG63" s="781">
        <v>0</v>
      </c>
      <c r="AH63" s="791">
        <v>0</v>
      </c>
      <c r="AI63" s="795">
        <v>0</v>
      </c>
      <c r="AJ63" s="2420">
        <v>0</v>
      </c>
      <c r="AK63" s="781">
        <v>0</v>
      </c>
      <c r="AL63" s="791">
        <v>0</v>
      </c>
    </row>
    <row r="64" spans="1:42">
      <c r="A64" s="1031" t="s">
        <v>91</v>
      </c>
      <c r="B64" s="1504" t="s">
        <v>849</v>
      </c>
      <c r="C64" s="2246">
        <v>216</v>
      </c>
      <c r="D64" s="2456">
        <v>360</v>
      </c>
      <c r="E64" s="781">
        <v>181</v>
      </c>
      <c r="F64" s="791">
        <v>0</v>
      </c>
      <c r="G64" s="795">
        <v>195</v>
      </c>
      <c r="H64" s="2420">
        <v>0</v>
      </c>
      <c r="I64" s="781">
        <v>195</v>
      </c>
      <c r="J64" s="791">
        <v>0</v>
      </c>
      <c r="K64" s="795">
        <v>195</v>
      </c>
      <c r="L64" s="2420">
        <v>0</v>
      </c>
      <c r="M64" s="781">
        <v>241</v>
      </c>
      <c r="N64" s="791">
        <v>0</v>
      </c>
      <c r="O64" s="2246">
        <v>15</v>
      </c>
      <c r="P64" s="2246">
        <v>37</v>
      </c>
      <c r="Q64" s="781">
        <v>15</v>
      </c>
      <c r="R64" s="791">
        <v>0</v>
      </c>
      <c r="S64" s="781">
        <v>15</v>
      </c>
      <c r="T64" s="791">
        <v>0</v>
      </c>
      <c r="U64" s="795">
        <v>18</v>
      </c>
      <c r="V64" s="2420">
        <v>0</v>
      </c>
      <c r="W64" s="781">
        <v>18</v>
      </c>
      <c r="X64" s="791">
        <v>0</v>
      </c>
      <c r="Y64" s="795">
        <v>20</v>
      </c>
      <c r="Z64" s="2420">
        <v>0</v>
      </c>
      <c r="AA64" s="2246">
        <v>14</v>
      </c>
      <c r="AB64" s="2456">
        <v>23</v>
      </c>
      <c r="AC64" s="781">
        <v>27</v>
      </c>
      <c r="AD64" s="791">
        <v>0</v>
      </c>
      <c r="AE64" s="795">
        <v>32</v>
      </c>
      <c r="AF64" s="2420">
        <v>0</v>
      </c>
      <c r="AG64" s="781">
        <v>38</v>
      </c>
      <c r="AH64" s="791">
        <v>0</v>
      </c>
      <c r="AI64" s="795">
        <v>44</v>
      </c>
      <c r="AJ64" s="2420">
        <v>0</v>
      </c>
      <c r="AK64" s="781">
        <v>44</v>
      </c>
      <c r="AL64" s="791">
        <v>0</v>
      </c>
    </row>
    <row r="65" spans="1:38" ht="24.75" thickBot="1">
      <c r="A65" s="1031" t="s">
        <v>92</v>
      </c>
      <c r="B65" s="1505" t="s">
        <v>856</v>
      </c>
      <c r="C65" s="2246">
        <v>0</v>
      </c>
      <c r="D65" s="2246">
        <v>0</v>
      </c>
      <c r="E65" s="2246">
        <v>0</v>
      </c>
      <c r="F65" s="2246">
        <v>0</v>
      </c>
      <c r="G65" s="2246">
        <v>0</v>
      </c>
      <c r="H65" s="2246">
        <v>0</v>
      </c>
      <c r="I65" s="2246">
        <v>0</v>
      </c>
      <c r="J65" s="2246">
        <v>0</v>
      </c>
      <c r="K65" s="2246">
        <v>0</v>
      </c>
      <c r="L65" s="2246">
        <v>0</v>
      </c>
      <c r="M65" s="2246">
        <v>0</v>
      </c>
      <c r="N65" s="2246">
        <v>0</v>
      </c>
      <c r="O65" s="2246">
        <v>0</v>
      </c>
      <c r="P65" s="2246">
        <v>0</v>
      </c>
      <c r="Q65" s="2246">
        <v>0</v>
      </c>
      <c r="R65" s="2246">
        <v>0</v>
      </c>
      <c r="S65" s="2246">
        <v>0</v>
      </c>
      <c r="T65" s="2246">
        <v>0</v>
      </c>
      <c r="U65" s="2246">
        <v>0</v>
      </c>
      <c r="V65" s="2246">
        <v>0</v>
      </c>
      <c r="W65" s="2246">
        <v>0</v>
      </c>
      <c r="X65" s="2246">
        <v>0</v>
      </c>
      <c r="Y65" s="2246">
        <v>0</v>
      </c>
      <c r="Z65" s="2246">
        <v>0</v>
      </c>
      <c r="AA65" s="2246">
        <v>0</v>
      </c>
      <c r="AB65" s="2246">
        <v>0</v>
      </c>
      <c r="AC65" s="2246">
        <v>0</v>
      </c>
      <c r="AD65" s="2246">
        <v>0</v>
      </c>
      <c r="AE65" s="2246">
        <v>0</v>
      </c>
      <c r="AF65" s="2246">
        <v>0</v>
      </c>
      <c r="AG65" s="2246">
        <v>0</v>
      </c>
      <c r="AH65" s="2246">
        <v>0</v>
      </c>
      <c r="AI65" s="2246">
        <v>0</v>
      </c>
      <c r="AJ65" s="2246">
        <v>0</v>
      </c>
      <c r="AK65" s="2246">
        <v>0</v>
      </c>
      <c r="AL65" s="2246">
        <v>0</v>
      </c>
    </row>
    <row r="66" spans="1:38" ht="15.75" thickBot="1">
      <c r="A66" s="1054">
        <v>6</v>
      </c>
      <c r="B66" s="1046" t="s">
        <v>626</v>
      </c>
      <c r="C66" s="1047">
        <f t="shared" ref="C66:D66" si="43">SUM(C67:C71)</f>
        <v>540</v>
      </c>
      <c r="D66" s="1075">
        <f t="shared" si="43"/>
        <v>524</v>
      </c>
      <c r="E66" s="1048">
        <f t="shared" ref="E66:N66" si="44">SUM(E67:E71)</f>
        <v>8</v>
      </c>
      <c r="F66" s="1049">
        <f t="shared" si="44"/>
        <v>-27</v>
      </c>
      <c r="G66" s="1048">
        <f t="shared" si="44"/>
        <v>8</v>
      </c>
      <c r="H66" s="1049">
        <f t="shared" si="44"/>
        <v>-27</v>
      </c>
      <c r="I66" s="1048">
        <f t="shared" si="44"/>
        <v>8</v>
      </c>
      <c r="J66" s="1049">
        <f t="shared" si="44"/>
        <v>-27</v>
      </c>
      <c r="K66" s="1048">
        <f t="shared" si="44"/>
        <v>6</v>
      </c>
      <c r="L66" s="1049">
        <f t="shared" si="44"/>
        <v>-47</v>
      </c>
      <c r="M66" s="1048">
        <f t="shared" si="44"/>
        <v>4</v>
      </c>
      <c r="N66" s="1049">
        <f t="shared" si="44"/>
        <v>-66</v>
      </c>
      <c r="O66" s="1047">
        <f t="shared" ref="O66:P66" si="45">SUM(O67:O71)</f>
        <v>23</v>
      </c>
      <c r="P66" s="1075">
        <f t="shared" si="45"/>
        <v>24</v>
      </c>
      <c r="Q66" s="1048">
        <f t="shared" ref="Q66:Z66" si="46">SUM(Q67:Q71)</f>
        <v>0</v>
      </c>
      <c r="R66" s="1049">
        <f t="shared" si="46"/>
        <v>0</v>
      </c>
      <c r="S66" s="1048">
        <f t="shared" si="46"/>
        <v>0</v>
      </c>
      <c r="T66" s="1049">
        <f t="shared" si="46"/>
        <v>0</v>
      </c>
      <c r="U66" s="1048">
        <f t="shared" si="46"/>
        <v>0</v>
      </c>
      <c r="V66" s="1049">
        <f t="shared" si="46"/>
        <v>0</v>
      </c>
      <c r="W66" s="1048">
        <f t="shared" si="46"/>
        <v>0</v>
      </c>
      <c r="X66" s="1049">
        <f t="shared" si="46"/>
        <v>0</v>
      </c>
      <c r="Y66" s="1048">
        <f t="shared" si="46"/>
        <v>0</v>
      </c>
      <c r="Z66" s="1049">
        <f t="shared" si="46"/>
        <v>0</v>
      </c>
      <c r="AA66" s="1047">
        <f t="shared" ref="AA66:AB66" si="47">SUM(AA67:AA71)</f>
        <v>7</v>
      </c>
      <c r="AB66" s="1075">
        <f t="shared" si="47"/>
        <v>6</v>
      </c>
      <c r="AC66" s="1048">
        <f t="shared" ref="AC66:AL66" si="48">SUM(AC67:AC71)</f>
        <v>0</v>
      </c>
      <c r="AD66" s="1049">
        <f t="shared" si="48"/>
        <v>0</v>
      </c>
      <c r="AE66" s="1048">
        <f t="shared" si="48"/>
        <v>0</v>
      </c>
      <c r="AF66" s="1049">
        <f t="shared" si="48"/>
        <v>0</v>
      </c>
      <c r="AG66" s="1048">
        <f t="shared" si="48"/>
        <v>0</v>
      </c>
      <c r="AH66" s="1049">
        <f t="shared" si="48"/>
        <v>0</v>
      </c>
      <c r="AI66" s="1048">
        <f t="shared" si="48"/>
        <v>0</v>
      </c>
      <c r="AJ66" s="1049">
        <f t="shared" si="48"/>
        <v>0</v>
      </c>
      <c r="AK66" s="1048">
        <f t="shared" si="48"/>
        <v>0</v>
      </c>
      <c r="AL66" s="1049">
        <f t="shared" si="48"/>
        <v>0</v>
      </c>
    </row>
    <row r="67" spans="1:38">
      <c r="A67" s="1031" t="s">
        <v>333</v>
      </c>
      <c r="B67" s="1032" t="s">
        <v>627</v>
      </c>
      <c r="C67" s="2246">
        <v>47</v>
      </c>
      <c r="D67" s="2456">
        <v>46</v>
      </c>
      <c r="E67" s="781">
        <v>0</v>
      </c>
      <c r="F67" s="781">
        <v>0</v>
      </c>
      <c r="G67" s="781">
        <v>0</v>
      </c>
      <c r="H67" s="781">
        <v>0</v>
      </c>
      <c r="I67" s="781">
        <v>0</v>
      </c>
      <c r="J67" s="781">
        <v>0</v>
      </c>
      <c r="K67" s="781">
        <v>0</v>
      </c>
      <c r="L67" s="781">
        <v>0</v>
      </c>
      <c r="M67" s="781">
        <v>0</v>
      </c>
      <c r="N67" s="781">
        <v>0</v>
      </c>
      <c r="O67" s="2246">
        <v>5</v>
      </c>
      <c r="P67" s="2246">
        <v>5</v>
      </c>
      <c r="Q67" s="781">
        <v>0</v>
      </c>
      <c r="R67" s="781">
        <v>0</v>
      </c>
      <c r="S67" s="781">
        <v>0</v>
      </c>
      <c r="T67" s="781">
        <v>0</v>
      </c>
      <c r="U67" s="781">
        <v>0</v>
      </c>
      <c r="V67" s="781">
        <v>0</v>
      </c>
      <c r="W67" s="781">
        <v>0</v>
      </c>
      <c r="X67" s="781">
        <v>0</v>
      </c>
      <c r="Y67" s="781">
        <v>0</v>
      </c>
      <c r="Z67" s="781">
        <v>0</v>
      </c>
      <c r="AA67" s="2246">
        <v>4</v>
      </c>
      <c r="AB67" s="2456">
        <v>3</v>
      </c>
      <c r="AC67" s="781">
        <v>0</v>
      </c>
      <c r="AD67" s="781">
        <v>0</v>
      </c>
      <c r="AE67" s="781">
        <v>0</v>
      </c>
      <c r="AF67" s="781">
        <v>0</v>
      </c>
      <c r="AG67" s="781">
        <v>0</v>
      </c>
      <c r="AH67" s="781">
        <v>0</v>
      </c>
      <c r="AI67" s="781">
        <v>0</v>
      </c>
      <c r="AJ67" s="781">
        <v>0</v>
      </c>
      <c r="AK67" s="781">
        <v>0</v>
      </c>
      <c r="AL67" s="781">
        <v>0</v>
      </c>
    </row>
    <row r="68" spans="1:38">
      <c r="A68" s="1031" t="s">
        <v>335</v>
      </c>
      <c r="B68" s="1063" t="s">
        <v>628</v>
      </c>
      <c r="C68" s="2246">
        <v>36</v>
      </c>
      <c r="D68" s="2456">
        <v>37</v>
      </c>
      <c r="E68" s="781">
        <v>8</v>
      </c>
      <c r="F68" s="791">
        <v>0</v>
      </c>
      <c r="G68" s="795">
        <v>8</v>
      </c>
      <c r="H68" s="2420">
        <v>0</v>
      </c>
      <c r="I68" s="781">
        <v>8</v>
      </c>
      <c r="J68" s="791">
        <v>0</v>
      </c>
      <c r="K68" s="795">
        <v>6</v>
      </c>
      <c r="L68" s="2420">
        <v>0</v>
      </c>
      <c r="M68" s="781">
        <v>4</v>
      </c>
      <c r="N68" s="791">
        <v>0</v>
      </c>
      <c r="O68" s="2246">
        <v>3</v>
      </c>
      <c r="P68" s="2246">
        <v>3</v>
      </c>
      <c r="Q68" s="781">
        <v>0</v>
      </c>
      <c r="R68" s="781">
        <v>0</v>
      </c>
      <c r="S68" s="781">
        <v>0</v>
      </c>
      <c r="T68" s="781">
        <v>0</v>
      </c>
      <c r="U68" s="781">
        <v>0</v>
      </c>
      <c r="V68" s="781">
        <v>0</v>
      </c>
      <c r="W68" s="781">
        <v>0</v>
      </c>
      <c r="X68" s="781">
        <v>0</v>
      </c>
      <c r="Y68" s="781">
        <v>0</v>
      </c>
      <c r="Z68" s="781">
        <v>0</v>
      </c>
      <c r="AA68" s="2246">
        <v>3</v>
      </c>
      <c r="AB68" s="2456">
        <v>3</v>
      </c>
      <c r="AC68" s="781">
        <v>0</v>
      </c>
      <c r="AD68" s="781">
        <v>0</v>
      </c>
      <c r="AE68" s="781">
        <v>0</v>
      </c>
      <c r="AF68" s="781">
        <v>0</v>
      </c>
      <c r="AG68" s="781">
        <v>0</v>
      </c>
      <c r="AH68" s="781">
        <v>0</v>
      </c>
      <c r="AI68" s="781">
        <v>0</v>
      </c>
      <c r="AJ68" s="781">
        <v>0</v>
      </c>
      <c r="AK68" s="781">
        <v>0</v>
      </c>
      <c r="AL68" s="781">
        <v>0</v>
      </c>
    </row>
    <row r="69" spans="1:38">
      <c r="A69" s="1031" t="s">
        <v>337</v>
      </c>
      <c r="B69" s="1038" t="s">
        <v>629</v>
      </c>
      <c r="C69" s="2246">
        <v>457</v>
      </c>
      <c r="D69" s="2456">
        <v>441</v>
      </c>
      <c r="E69" s="781">
        <v>0</v>
      </c>
      <c r="F69" s="791">
        <v>-27</v>
      </c>
      <c r="G69" s="795">
        <v>0</v>
      </c>
      <c r="H69" s="2420">
        <v>-27</v>
      </c>
      <c r="I69" s="781">
        <v>0</v>
      </c>
      <c r="J69" s="791">
        <v>-27</v>
      </c>
      <c r="K69" s="795">
        <v>0</v>
      </c>
      <c r="L69" s="2420">
        <v>-47</v>
      </c>
      <c r="M69" s="781">
        <v>0</v>
      </c>
      <c r="N69" s="791">
        <v>-66</v>
      </c>
      <c r="O69" s="2246">
        <v>0</v>
      </c>
      <c r="P69" s="2246">
        <v>0</v>
      </c>
      <c r="Q69" s="781">
        <v>0</v>
      </c>
      <c r="R69" s="781">
        <v>0</v>
      </c>
      <c r="S69" s="781">
        <v>0</v>
      </c>
      <c r="T69" s="781">
        <v>0</v>
      </c>
      <c r="U69" s="781">
        <v>0</v>
      </c>
      <c r="V69" s="781">
        <v>0</v>
      </c>
      <c r="W69" s="781">
        <v>0</v>
      </c>
      <c r="X69" s="781">
        <v>0</v>
      </c>
      <c r="Y69" s="781">
        <v>0</v>
      </c>
      <c r="Z69" s="781">
        <v>0</v>
      </c>
      <c r="AA69" s="2246">
        <v>0</v>
      </c>
      <c r="AB69" s="2246">
        <v>0</v>
      </c>
      <c r="AC69" s="781">
        <v>0</v>
      </c>
      <c r="AD69" s="781">
        <v>0</v>
      </c>
      <c r="AE69" s="781">
        <v>0</v>
      </c>
      <c r="AF69" s="781">
        <v>0</v>
      </c>
      <c r="AG69" s="781">
        <v>0</v>
      </c>
      <c r="AH69" s="781">
        <v>0</v>
      </c>
      <c r="AI69" s="781">
        <v>0</v>
      </c>
      <c r="AJ69" s="781">
        <v>0</v>
      </c>
      <c r="AK69" s="781">
        <v>0</v>
      </c>
      <c r="AL69" s="781">
        <v>0</v>
      </c>
    </row>
    <row r="70" spans="1:38">
      <c r="A70" s="1031" t="s">
        <v>339</v>
      </c>
      <c r="B70" s="1038" t="s">
        <v>630</v>
      </c>
      <c r="C70" s="2246">
        <v>0</v>
      </c>
      <c r="D70" s="2246">
        <v>0</v>
      </c>
      <c r="E70" s="2246">
        <v>0</v>
      </c>
      <c r="F70" s="2246">
        <v>0</v>
      </c>
      <c r="G70" s="2246">
        <v>0</v>
      </c>
      <c r="H70" s="2246">
        <v>0</v>
      </c>
      <c r="I70" s="2246">
        <v>0</v>
      </c>
      <c r="J70" s="2246">
        <v>0</v>
      </c>
      <c r="K70" s="2246">
        <v>0</v>
      </c>
      <c r="L70" s="2246">
        <v>0</v>
      </c>
      <c r="M70" s="2246">
        <v>0</v>
      </c>
      <c r="N70" s="2246">
        <v>0</v>
      </c>
      <c r="O70" s="2246">
        <v>15</v>
      </c>
      <c r="P70" s="2246">
        <v>16</v>
      </c>
      <c r="Q70" s="781">
        <v>0</v>
      </c>
      <c r="R70" s="781">
        <v>0</v>
      </c>
      <c r="S70" s="781">
        <v>0</v>
      </c>
      <c r="T70" s="781">
        <v>0</v>
      </c>
      <c r="U70" s="781">
        <v>0</v>
      </c>
      <c r="V70" s="781">
        <v>0</v>
      </c>
      <c r="W70" s="781">
        <v>0</v>
      </c>
      <c r="X70" s="781">
        <v>0</v>
      </c>
      <c r="Y70" s="781">
        <v>0</v>
      </c>
      <c r="Z70" s="781">
        <v>0</v>
      </c>
      <c r="AA70" s="2246">
        <v>0</v>
      </c>
      <c r="AB70" s="2246">
        <v>0</v>
      </c>
      <c r="AC70" s="781">
        <v>0</v>
      </c>
      <c r="AD70" s="781">
        <v>0</v>
      </c>
      <c r="AE70" s="781">
        <v>0</v>
      </c>
      <c r="AF70" s="781">
        <v>0</v>
      </c>
      <c r="AG70" s="781">
        <v>0</v>
      </c>
      <c r="AH70" s="781">
        <v>0</v>
      </c>
      <c r="AI70" s="781">
        <v>0</v>
      </c>
      <c r="AJ70" s="781">
        <v>0</v>
      </c>
      <c r="AK70" s="781">
        <v>0</v>
      </c>
      <c r="AL70" s="781">
        <v>0</v>
      </c>
    </row>
    <row r="71" spans="1:38" ht="15.75" thickBot="1">
      <c r="A71" s="1031" t="s">
        <v>341</v>
      </c>
      <c r="B71" s="1038" t="s">
        <v>631</v>
      </c>
      <c r="C71" s="2246">
        <v>0</v>
      </c>
      <c r="D71" s="2246">
        <v>0</v>
      </c>
      <c r="E71" s="2246">
        <v>0</v>
      </c>
      <c r="F71" s="2246">
        <v>0</v>
      </c>
      <c r="G71" s="2246">
        <v>0</v>
      </c>
      <c r="H71" s="2246">
        <v>0</v>
      </c>
      <c r="I71" s="2246">
        <v>0</v>
      </c>
      <c r="J71" s="2246">
        <v>0</v>
      </c>
      <c r="K71" s="2246">
        <v>0</v>
      </c>
      <c r="L71" s="2246">
        <v>0</v>
      </c>
      <c r="M71" s="2246">
        <v>0</v>
      </c>
      <c r="N71" s="2246">
        <v>0</v>
      </c>
      <c r="O71" s="2246">
        <v>0</v>
      </c>
      <c r="P71" s="2246">
        <v>0</v>
      </c>
      <c r="Q71" s="781">
        <v>0</v>
      </c>
      <c r="R71" s="781">
        <v>0</v>
      </c>
      <c r="S71" s="781">
        <v>0</v>
      </c>
      <c r="T71" s="781">
        <v>0</v>
      </c>
      <c r="U71" s="781">
        <v>0</v>
      </c>
      <c r="V71" s="781">
        <v>0</v>
      </c>
      <c r="W71" s="781">
        <v>0</v>
      </c>
      <c r="X71" s="781">
        <v>0</v>
      </c>
      <c r="Y71" s="781">
        <v>0</v>
      </c>
      <c r="Z71" s="781">
        <v>0</v>
      </c>
      <c r="AA71" s="2246">
        <v>0</v>
      </c>
      <c r="AB71" s="2246">
        <v>0</v>
      </c>
      <c r="AC71" s="781">
        <v>0</v>
      </c>
      <c r="AD71" s="781">
        <v>0</v>
      </c>
      <c r="AE71" s="781">
        <v>0</v>
      </c>
      <c r="AF71" s="781">
        <v>0</v>
      </c>
      <c r="AG71" s="781">
        <v>0</v>
      </c>
      <c r="AH71" s="781">
        <v>0</v>
      </c>
      <c r="AI71" s="781">
        <v>0</v>
      </c>
      <c r="AJ71" s="781">
        <v>0</v>
      </c>
      <c r="AK71" s="781">
        <v>0</v>
      </c>
      <c r="AL71" s="781">
        <v>0</v>
      </c>
    </row>
    <row r="72" spans="1:38" ht="15.75" thickBot="1">
      <c r="A72" s="1054">
        <v>7</v>
      </c>
      <c r="B72" s="1046" t="s">
        <v>332</v>
      </c>
      <c r="C72" s="1047">
        <f t="shared" ref="C72:D72" si="49">SUM(C73:C79)</f>
        <v>180</v>
      </c>
      <c r="D72" s="1075">
        <f t="shared" si="49"/>
        <v>164</v>
      </c>
      <c r="E72" s="1048">
        <f>SUM(E73:E79)</f>
        <v>0</v>
      </c>
      <c r="F72" s="1049">
        <f t="shared" ref="F72" si="50">SUM(F73:F79)</f>
        <v>0</v>
      </c>
      <c r="G72" s="1048">
        <f>SUM(G73:G79)</f>
        <v>0</v>
      </c>
      <c r="H72" s="1049">
        <f t="shared" ref="H72" si="51">SUM(H73:H79)</f>
        <v>0</v>
      </c>
      <c r="I72" s="1048">
        <f>SUM(I73:I79)</f>
        <v>0</v>
      </c>
      <c r="J72" s="1049">
        <f t="shared" ref="J72" si="52">SUM(J73:J79)</f>
        <v>0</v>
      </c>
      <c r="K72" s="1048">
        <f>SUM(K73:K79)</f>
        <v>0</v>
      </c>
      <c r="L72" s="1049">
        <f t="shared" ref="L72" si="53">SUM(L73:L79)</f>
        <v>0</v>
      </c>
      <c r="M72" s="1048">
        <f>SUM(M73:M79)</f>
        <v>0</v>
      </c>
      <c r="N72" s="1049">
        <f t="shared" ref="N72" si="54">SUM(N73:N79)</f>
        <v>0</v>
      </c>
      <c r="O72" s="1047">
        <f t="shared" ref="O72:P72" si="55">SUM(O73:O79)</f>
        <v>11</v>
      </c>
      <c r="P72" s="1075">
        <f t="shared" si="55"/>
        <v>11</v>
      </c>
      <c r="Q72" s="1048">
        <f>SUM(Q73:Q79)</f>
        <v>0</v>
      </c>
      <c r="R72" s="1049">
        <f t="shared" ref="R72" si="56">SUM(R73:R79)</f>
        <v>0</v>
      </c>
      <c r="S72" s="1048">
        <f>SUM(S73:S79)</f>
        <v>0</v>
      </c>
      <c r="T72" s="1049">
        <f t="shared" ref="T72" si="57">SUM(T73:T79)</f>
        <v>0</v>
      </c>
      <c r="U72" s="1048">
        <f>SUM(U73:U79)</f>
        <v>0</v>
      </c>
      <c r="V72" s="1049">
        <f t="shared" ref="V72" si="58">SUM(V73:V79)</f>
        <v>0</v>
      </c>
      <c r="W72" s="1048">
        <f>SUM(W73:W79)</f>
        <v>0</v>
      </c>
      <c r="X72" s="1049">
        <f t="shared" ref="X72" si="59">SUM(X73:X79)</f>
        <v>0</v>
      </c>
      <c r="Y72" s="1048">
        <f>SUM(Y73:Y79)</f>
        <v>0</v>
      </c>
      <c r="Z72" s="1049">
        <f t="shared" ref="Z72" si="60">SUM(Z73:Z79)</f>
        <v>0</v>
      </c>
      <c r="AA72" s="1047">
        <f t="shared" ref="AA72:AB72" si="61">SUM(AA73:AA79)</f>
        <v>11</v>
      </c>
      <c r="AB72" s="1075">
        <f t="shared" si="61"/>
        <v>20</v>
      </c>
      <c r="AC72" s="1048">
        <f>SUM(AC73:AC79)</f>
        <v>0</v>
      </c>
      <c r="AD72" s="1049">
        <f t="shared" ref="AD72" si="62">SUM(AD73:AD79)</f>
        <v>0</v>
      </c>
      <c r="AE72" s="1048">
        <f>SUM(AE73:AE79)</f>
        <v>0</v>
      </c>
      <c r="AF72" s="1049">
        <f t="shared" ref="AF72" si="63">SUM(AF73:AF79)</f>
        <v>0</v>
      </c>
      <c r="AG72" s="1048">
        <f>SUM(AG73:AG79)</f>
        <v>0</v>
      </c>
      <c r="AH72" s="1049">
        <f t="shared" ref="AH72:AL72" si="64">SUM(AH73:AH79)</f>
        <v>0</v>
      </c>
      <c r="AI72" s="1048">
        <f>SUM(AI73:AI79)</f>
        <v>0</v>
      </c>
      <c r="AJ72" s="1049">
        <f t="shared" si="64"/>
        <v>0</v>
      </c>
      <c r="AK72" s="1048">
        <f>SUM(AK73:AK79)</f>
        <v>0</v>
      </c>
      <c r="AL72" s="1049">
        <f t="shared" si="64"/>
        <v>0</v>
      </c>
    </row>
    <row r="73" spans="1:38">
      <c r="A73" s="487" t="s">
        <v>232</v>
      </c>
      <c r="B73" s="1032" t="s">
        <v>334</v>
      </c>
      <c r="C73" s="2246">
        <v>0</v>
      </c>
      <c r="D73" s="2246">
        <v>0</v>
      </c>
      <c r="E73" s="2246">
        <v>0</v>
      </c>
      <c r="F73" s="2246">
        <v>0</v>
      </c>
      <c r="G73" s="2246">
        <v>0</v>
      </c>
      <c r="H73" s="2246">
        <v>0</v>
      </c>
      <c r="I73" s="2246">
        <v>0</v>
      </c>
      <c r="J73" s="2246">
        <v>0</v>
      </c>
      <c r="K73" s="2246">
        <v>0</v>
      </c>
      <c r="L73" s="2246">
        <v>0</v>
      </c>
      <c r="M73" s="2246">
        <v>0</v>
      </c>
      <c r="N73" s="2246">
        <v>0</v>
      </c>
      <c r="O73" s="2246">
        <v>0</v>
      </c>
      <c r="P73" s="2246">
        <v>0</v>
      </c>
      <c r="Q73" s="2246">
        <v>0</v>
      </c>
      <c r="R73" s="2246">
        <v>0</v>
      </c>
      <c r="S73" s="2246">
        <v>0</v>
      </c>
      <c r="T73" s="2246">
        <v>0</v>
      </c>
      <c r="U73" s="2246">
        <v>0</v>
      </c>
      <c r="V73" s="2246">
        <v>0</v>
      </c>
      <c r="W73" s="2246">
        <v>0</v>
      </c>
      <c r="X73" s="2246">
        <v>0</v>
      </c>
      <c r="Y73" s="2246">
        <v>0</v>
      </c>
      <c r="Z73" s="2246">
        <v>0</v>
      </c>
      <c r="AA73" s="2246">
        <v>0</v>
      </c>
      <c r="AB73" s="2246">
        <v>0</v>
      </c>
      <c r="AC73" s="2246">
        <v>0</v>
      </c>
      <c r="AD73" s="2246">
        <v>0</v>
      </c>
      <c r="AE73" s="2246">
        <v>0</v>
      </c>
      <c r="AF73" s="2246">
        <v>0</v>
      </c>
      <c r="AG73" s="2246">
        <v>0</v>
      </c>
      <c r="AH73" s="2246">
        <v>0</v>
      </c>
      <c r="AI73" s="2246">
        <v>0</v>
      </c>
      <c r="AJ73" s="2246">
        <v>0</v>
      </c>
      <c r="AK73" s="2246">
        <v>0</v>
      </c>
      <c r="AL73" s="2246">
        <v>0</v>
      </c>
    </row>
    <row r="74" spans="1:38">
      <c r="A74" s="487" t="s">
        <v>235</v>
      </c>
      <c r="B74" s="1063" t="s">
        <v>336</v>
      </c>
      <c r="C74" s="2246">
        <v>15</v>
      </c>
      <c r="D74" s="2456">
        <v>6</v>
      </c>
      <c r="E74" s="781">
        <v>0</v>
      </c>
      <c r="F74" s="781">
        <v>0</v>
      </c>
      <c r="G74" s="781">
        <v>0</v>
      </c>
      <c r="H74" s="781">
        <v>0</v>
      </c>
      <c r="I74" s="781">
        <v>0</v>
      </c>
      <c r="J74" s="781">
        <v>0</v>
      </c>
      <c r="K74" s="781">
        <v>0</v>
      </c>
      <c r="L74" s="781">
        <v>0</v>
      </c>
      <c r="M74" s="781">
        <v>0</v>
      </c>
      <c r="N74" s="781">
        <v>0</v>
      </c>
      <c r="O74" s="2246">
        <v>1</v>
      </c>
      <c r="P74" s="2246">
        <v>1</v>
      </c>
      <c r="Q74" s="781">
        <v>0</v>
      </c>
      <c r="R74" s="781">
        <v>0</v>
      </c>
      <c r="S74" s="2246">
        <v>0</v>
      </c>
      <c r="T74" s="2246">
        <v>0</v>
      </c>
      <c r="U74" s="2246">
        <v>0</v>
      </c>
      <c r="V74" s="2246">
        <v>0</v>
      </c>
      <c r="W74" s="2246">
        <v>0</v>
      </c>
      <c r="X74" s="2246">
        <v>0</v>
      </c>
      <c r="Y74" s="2246">
        <v>0</v>
      </c>
      <c r="Z74" s="2246">
        <v>0</v>
      </c>
      <c r="AA74" s="2246">
        <v>3</v>
      </c>
      <c r="AB74" s="2456">
        <v>2</v>
      </c>
      <c r="AC74" s="781">
        <v>0</v>
      </c>
      <c r="AD74" s="781">
        <v>0</v>
      </c>
      <c r="AE74" s="781">
        <v>0</v>
      </c>
      <c r="AF74" s="781">
        <v>0</v>
      </c>
      <c r="AG74" s="781">
        <v>0</v>
      </c>
      <c r="AH74" s="781">
        <v>0</v>
      </c>
      <c r="AI74" s="781">
        <v>0</v>
      </c>
      <c r="AJ74" s="781">
        <v>0</v>
      </c>
      <c r="AK74" s="781">
        <v>0</v>
      </c>
      <c r="AL74" s="781">
        <v>0</v>
      </c>
    </row>
    <row r="75" spans="1:38">
      <c r="A75" s="487" t="s">
        <v>632</v>
      </c>
      <c r="B75" s="1038" t="s">
        <v>331</v>
      </c>
      <c r="C75" s="2246">
        <v>0</v>
      </c>
      <c r="D75" s="2246">
        <v>0</v>
      </c>
      <c r="E75" s="2246">
        <v>0</v>
      </c>
      <c r="F75" s="2246">
        <v>0</v>
      </c>
      <c r="G75" s="2246">
        <v>0</v>
      </c>
      <c r="H75" s="2246">
        <v>0</v>
      </c>
      <c r="I75" s="2246">
        <v>0</v>
      </c>
      <c r="J75" s="2246">
        <v>0</v>
      </c>
      <c r="K75" s="2246">
        <v>0</v>
      </c>
      <c r="L75" s="2246">
        <v>0</v>
      </c>
      <c r="M75" s="2246">
        <v>0</v>
      </c>
      <c r="N75" s="2246">
        <v>0</v>
      </c>
      <c r="O75" s="2246">
        <v>0</v>
      </c>
      <c r="P75" s="2246">
        <v>0</v>
      </c>
      <c r="Q75" s="2246">
        <v>0</v>
      </c>
      <c r="R75" s="2246">
        <v>0</v>
      </c>
      <c r="S75" s="2246">
        <v>0</v>
      </c>
      <c r="T75" s="2246">
        <v>0</v>
      </c>
      <c r="U75" s="2246">
        <v>0</v>
      </c>
      <c r="V75" s="2246">
        <v>0</v>
      </c>
      <c r="W75" s="2246">
        <v>0</v>
      </c>
      <c r="X75" s="2246">
        <v>0</v>
      </c>
      <c r="Y75" s="2246">
        <v>0</v>
      </c>
      <c r="Z75" s="2246">
        <v>0</v>
      </c>
      <c r="AA75" s="2246">
        <v>0</v>
      </c>
      <c r="AB75" s="2246">
        <v>0</v>
      </c>
      <c r="AC75" s="2246">
        <v>0</v>
      </c>
      <c r="AD75" s="2246">
        <v>0</v>
      </c>
      <c r="AE75" s="2246">
        <v>0</v>
      </c>
      <c r="AF75" s="2246">
        <v>0</v>
      </c>
      <c r="AG75" s="2246">
        <v>0</v>
      </c>
      <c r="AH75" s="2246">
        <v>0</v>
      </c>
      <c r="AI75" s="2246">
        <v>0</v>
      </c>
      <c r="AJ75" s="2246">
        <v>0</v>
      </c>
      <c r="AK75" s="2246">
        <v>0</v>
      </c>
      <c r="AL75" s="2246">
        <v>0</v>
      </c>
    </row>
    <row r="76" spans="1:38">
      <c r="A76" s="487" t="s">
        <v>633</v>
      </c>
      <c r="B76" s="1032" t="s">
        <v>338</v>
      </c>
      <c r="C76" s="2246">
        <v>0</v>
      </c>
      <c r="D76" s="2246">
        <v>0</v>
      </c>
      <c r="E76" s="2246">
        <v>0</v>
      </c>
      <c r="F76" s="2246">
        <v>0</v>
      </c>
      <c r="G76" s="2246">
        <v>0</v>
      </c>
      <c r="H76" s="2246">
        <v>0</v>
      </c>
      <c r="I76" s="2246">
        <v>0</v>
      </c>
      <c r="J76" s="2246">
        <v>0</v>
      </c>
      <c r="K76" s="2246">
        <v>0</v>
      </c>
      <c r="L76" s="2246">
        <v>0</v>
      </c>
      <c r="M76" s="2246">
        <v>0</v>
      </c>
      <c r="N76" s="2246">
        <v>0</v>
      </c>
      <c r="O76" s="2246">
        <v>0</v>
      </c>
      <c r="P76" s="2246">
        <v>0</v>
      </c>
      <c r="Q76" s="2246">
        <v>0</v>
      </c>
      <c r="R76" s="2246">
        <v>0</v>
      </c>
      <c r="S76" s="2246">
        <v>0</v>
      </c>
      <c r="T76" s="2246">
        <v>0</v>
      </c>
      <c r="U76" s="2246">
        <v>0</v>
      </c>
      <c r="V76" s="2246">
        <v>0</v>
      </c>
      <c r="W76" s="2246">
        <v>0</v>
      </c>
      <c r="X76" s="2246">
        <v>0</v>
      </c>
      <c r="Y76" s="2246">
        <v>0</v>
      </c>
      <c r="Z76" s="2246">
        <v>0</v>
      </c>
      <c r="AA76" s="2246">
        <v>0</v>
      </c>
      <c r="AB76" s="2246">
        <v>0</v>
      </c>
      <c r="AC76" s="2246">
        <v>0</v>
      </c>
      <c r="AD76" s="2246">
        <v>0</v>
      </c>
      <c r="AE76" s="2246">
        <v>0</v>
      </c>
      <c r="AF76" s="2246">
        <v>0</v>
      </c>
      <c r="AG76" s="2246">
        <v>0</v>
      </c>
      <c r="AH76" s="2246">
        <v>0</v>
      </c>
      <c r="AI76" s="2246">
        <v>0</v>
      </c>
      <c r="AJ76" s="2246">
        <v>0</v>
      </c>
      <c r="AK76" s="2246">
        <v>0</v>
      </c>
      <c r="AL76" s="2246">
        <v>0</v>
      </c>
    </row>
    <row r="77" spans="1:38">
      <c r="A77" s="487" t="s">
        <v>634</v>
      </c>
      <c r="B77" s="1038" t="s">
        <v>340</v>
      </c>
      <c r="C77" s="2246">
        <v>20</v>
      </c>
      <c r="D77" s="2456">
        <v>19</v>
      </c>
      <c r="E77" s="2246">
        <v>0</v>
      </c>
      <c r="F77" s="2246">
        <v>0</v>
      </c>
      <c r="G77" s="2246">
        <v>0</v>
      </c>
      <c r="H77" s="2246">
        <v>0</v>
      </c>
      <c r="I77" s="2246">
        <v>0</v>
      </c>
      <c r="J77" s="2246">
        <v>0</v>
      </c>
      <c r="K77" s="2246">
        <v>0</v>
      </c>
      <c r="L77" s="2246">
        <v>0</v>
      </c>
      <c r="M77" s="2246">
        <v>0</v>
      </c>
      <c r="N77" s="2246">
        <v>0</v>
      </c>
      <c r="O77" s="2246">
        <v>2</v>
      </c>
      <c r="P77" s="2246">
        <v>2</v>
      </c>
      <c r="Q77" s="781">
        <v>0</v>
      </c>
      <c r="R77" s="781">
        <v>0</v>
      </c>
      <c r="S77" s="2246">
        <v>0</v>
      </c>
      <c r="T77" s="2246">
        <v>0</v>
      </c>
      <c r="U77" s="2246">
        <v>0</v>
      </c>
      <c r="V77" s="2246">
        <v>0</v>
      </c>
      <c r="W77" s="2246">
        <v>0</v>
      </c>
      <c r="X77" s="2246">
        <v>0</v>
      </c>
      <c r="Y77" s="2246">
        <v>0</v>
      </c>
      <c r="Z77" s="2246">
        <v>0</v>
      </c>
      <c r="AA77" s="2246">
        <v>2</v>
      </c>
      <c r="AB77" s="2456">
        <v>2</v>
      </c>
      <c r="AC77" s="781">
        <v>0</v>
      </c>
      <c r="AD77" s="781">
        <v>0</v>
      </c>
      <c r="AE77" s="781">
        <v>0</v>
      </c>
      <c r="AF77" s="781">
        <v>0</v>
      </c>
      <c r="AG77" s="781">
        <v>0</v>
      </c>
      <c r="AH77" s="781">
        <v>0</v>
      </c>
      <c r="AI77" s="781">
        <v>0</v>
      </c>
      <c r="AJ77" s="781">
        <v>0</v>
      </c>
      <c r="AK77" s="781">
        <v>0</v>
      </c>
      <c r="AL77" s="781">
        <v>0</v>
      </c>
    </row>
    <row r="78" spans="1:38">
      <c r="A78" s="487" t="s">
        <v>635</v>
      </c>
      <c r="B78" s="1064" t="s">
        <v>325</v>
      </c>
      <c r="C78" s="2246">
        <v>117</v>
      </c>
      <c r="D78" s="2456">
        <v>100</v>
      </c>
      <c r="E78" s="2246">
        <v>0</v>
      </c>
      <c r="F78" s="2246">
        <v>0</v>
      </c>
      <c r="G78" s="2246">
        <v>0</v>
      </c>
      <c r="H78" s="2246">
        <v>0</v>
      </c>
      <c r="I78" s="2246">
        <v>0</v>
      </c>
      <c r="J78" s="2246">
        <v>0</v>
      </c>
      <c r="K78" s="2246">
        <v>0</v>
      </c>
      <c r="L78" s="2246">
        <v>0</v>
      </c>
      <c r="M78" s="2246">
        <v>0</v>
      </c>
      <c r="N78" s="2246">
        <v>0</v>
      </c>
      <c r="O78" s="2246">
        <v>4</v>
      </c>
      <c r="P78" s="2246">
        <v>4</v>
      </c>
      <c r="Q78" s="781">
        <v>0</v>
      </c>
      <c r="R78" s="781">
        <v>0</v>
      </c>
      <c r="S78" s="2246">
        <v>0</v>
      </c>
      <c r="T78" s="2246">
        <v>0</v>
      </c>
      <c r="U78" s="2246">
        <v>0</v>
      </c>
      <c r="V78" s="2246">
        <v>0</v>
      </c>
      <c r="W78" s="2246">
        <v>0</v>
      </c>
      <c r="X78" s="2246">
        <v>0</v>
      </c>
      <c r="Y78" s="2246">
        <v>0</v>
      </c>
      <c r="Z78" s="2246">
        <v>0</v>
      </c>
      <c r="AA78" s="2246">
        <v>4</v>
      </c>
      <c r="AB78" s="2456">
        <v>5</v>
      </c>
      <c r="AC78" s="781">
        <v>0</v>
      </c>
      <c r="AD78" s="781">
        <v>0</v>
      </c>
      <c r="AE78" s="781">
        <v>0</v>
      </c>
      <c r="AF78" s="781">
        <v>0</v>
      </c>
      <c r="AG78" s="781">
        <v>0</v>
      </c>
      <c r="AH78" s="781">
        <v>0</v>
      </c>
      <c r="AI78" s="781">
        <v>0</v>
      </c>
      <c r="AJ78" s="781">
        <v>0</v>
      </c>
      <c r="AK78" s="781">
        <v>0</v>
      </c>
      <c r="AL78" s="781">
        <v>0</v>
      </c>
    </row>
    <row r="79" spans="1:38">
      <c r="A79" s="487" t="s">
        <v>636</v>
      </c>
      <c r="B79" s="1038" t="s">
        <v>302</v>
      </c>
      <c r="C79" s="1039">
        <f>SUM(C80:C83)</f>
        <v>28</v>
      </c>
      <c r="D79" s="1184">
        <f t="shared" ref="D79" si="65">SUM(D80:D83)</f>
        <v>39</v>
      </c>
      <c r="E79" s="1040">
        <f t="shared" ref="E79:N79" si="66">SUM(E80:E83)</f>
        <v>0</v>
      </c>
      <c r="F79" s="1041">
        <f t="shared" si="66"/>
        <v>0</v>
      </c>
      <c r="G79" s="1040">
        <f t="shared" si="66"/>
        <v>0</v>
      </c>
      <c r="H79" s="1041">
        <f t="shared" si="66"/>
        <v>0</v>
      </c>
      <c r="I79" s="1040">
        <f t="shared" si="66"/>
        <v>0</v>
      </c>
      <c r="J79" s="1041">
        <f t="shared" si="66"/>
        <v>0</v>
      </c>
      <c r="K79" s="1040">
        <f t="shared" si="66"/>
        <v>0</v>
      </c>
      <c r="L79" s="1041">
        <f t="shared" si="66"/>
        <v>0</v>
      </c>
      <c r="M79" s="1040">
        <f t="shared" si="66"/>
        <v>0</v>
      </c>
      <c r="N79" s="1041">
        <f t="shared" si="66"/>
        <v>0</v>
      </c>
      <c r="O79" s="1039">
        <f>SUM(O80:O83)</f>
        <v>4</v>
      </c>
      <c r="P79" s="1184">
        <f t="shared" ref="P79" si="67">SUM(P80:P83)</f>
        <v>4</v>
      </c>
      <c r="Q79" s="1040">
        <f t="shared" ref="Q79:Z79" si="68">SUM(Q80:Q83)</f>
        <v>0</v>
      </c>
      <c r="R79" s="1041">
        <f t="shared" si="68"/>
        <v>0</v>
      </c>
      <c r="S79" s="1040">
        <f t="shared" si="68"/>
        <v>0</v>
      </c>
      <c r="T79" s="1041">
        <f t="shared" si="68"/>
        <v>0</v>
      </c>
      <c r="U79" s="1040">
        <f t="shared" si="68"/>
        <v>0</v>
      </c>
      <c r="V79" s="1041">
        <f t="shared" si="68"/>
        <v>0</v>
      </c>
      <c r="W79" s="1040">
        <f t="shared" si="68"/>
        <v>0</v>
      </c>
      <c r="X79" s="1041">
        <f t="shared" si="68"/>
        <v>0</v>
      </c>
      <c r="Y79" s="1040">
        <f t="shared" si="68"/>
        <v>0</v>
      </c>
      <c r="Z79" s="1041">
        <f t="shared" si="68"/>
        <v>0</v>
      </c>
      <c r="AA79" s="1039">
        <f>SUM(AA80:AA83)</f>
        <v>2</v>
      </c>
      <c r="AB79" s="1184">
        <f t="shared" ref="AB79" si="69">SUM(AB80:AB83)</f>
        <v>11</v>
      </c>
      <c r="AC79" s="1040">
        <f t="shared" ref="AC79:AL79" si="70">SUM(AC80:AC83)</f>
        <v>0</v>
      </c>
      <c r="AD79" s="1041">
        <f t="shared" si="70"/>
        <v>0</v>
      </c>
      <c r="AE79" s="1040">
        <f t="shared" si="70"/>
        <v>0</v>
      </c>
      <c r="AF79" s="1041">
        <f t="shared" si="70"/>
        <v>0</v>
      </c>
      <c r="AG79" s="1040">
        <f t="shared" si="70"/>
        <v>0</v>
      </c>
      <c r="AH79" s="1041">
        <f t="shared" si="70"/>
        <v>0</v>
      </c>
      <c r="AI79" s="1040">
        <f t="shared" si="70"/>
        <v>0</v>
      </c>
      <c r="AJ79" s="1041">
        <f t="shared" si="70"/>
        <v>0</v>
      </c>
      <c r="AK79" s="1040">
        <f t="shared" si="70"/>
        <v>0</v>
      </c>
      <c r="AL79" s="1041">
        <f t="shared" si="70"/>
        <v>0</v>
      </c>
    </row>
    <row r="80" spans="1:38">
      <c r="A80" s="488" t="s">
        <v>850</v>
      </c>
      <c r="B80" s="791" t="s">
        <v>1563</v>
      </c>
      <c r="C80" s="2246">
        <v>21</v>
      </c>
      <c r="D80" s="2456">
        <v>21</v>
      </c>
      <c r="E80" s="781">
        <v>0</v>
      </c>
      <c r="F80" s="781">
        <v>0</v>
      </c>
      <c r="G80" s="781">
        <v>0</v>
      </c>
      <c r="H80" s="781">
        <v>0</v>
      </c>
      <c r="I80" s="781">
        <v>0</v>
      </c>
      <c r="J80" s="781">
        <v>0</v>
      </c>
      <c r="K80" s="781">
        <v>0</v>
      </c>
      <c r="L80" s="781">
        <v>0</v>
      </c>
      <c r="M80" s="781">
        <v>0</v>
      </c>
      <c r="N80" s="781">
        <v>0</v>
      </c>
      <c r="O80" s="2246">
        <v>1</v>
      </c>
      <c r="P80" s="2246">
        <v>1</v>
      </c>
      <c r="Q80" s="781">
        <v>0</v>
      </c>
      <c r="R80" s="781">
        <v>0</v>
      </c>
      <c r="S80" s="781">
        <v>0</v>
      </c>
      <c r="T80" s="781">
        <v>0</v>
      </c>
      <c r="U80" s="781">
        <v>0</v>
      </c>
      <c r="V80" s="781">
        <v>0</v>
      </c>
      <c r="W80" s="781">
        <v>0</v>
      </c>
      <c r="X80" s="781">
        <v>0</v>
      </c>
      <c r="Y80" s="781">
        <v>0</v>
      </c>
      <c r="Z80" s="781">
        <v>0</v>
      </c>
      <c r="AA80" s="2246">
        <v>0</v>
      </c>
      <c r="AB80" s="2246">
        <v>0</v>
      </c>
      <c r="AC80" s="2246">
        <v>0</v>
      </c>
      <c r="AD80" s="2246">
        <v>0</v>
      </c>
      <c r="AE80" s="2246">
        <v>0</v>
      </c>
      <c r="AF80" s="2246">
        <v>0</v>
      </c>
      <c r="AG80" s="2246">
        <v>0</v>
      </c>
      <c r="AH80" s="2246">
        <v>0</v>
      </c>
      <c r="AI80" s="2246">
        <v>0</v>
      </c>
      <c r="AJ80" s="2246">
        <v>0</v>
      </c>
      <c r="AK80" s="2246">
        <v>0</v>
      </c>
      <c r="AL80" s="2246">
        <v>0</v>
      </c>
    </row>
    <row r="81" spans="1:42">
      <c r="A81" s="488" t="s">
        <v>851</v>
      </c>
      <c r="B81" s="791" t="s">
        <v>1564</v>
      </c>
      <c r="C81" s="2246">
        <v>5</v>
      </c>
      <c r="D81" s="2456">
        <v>6</v>
      </c>
      <c r="E81" s="781">
        <v>0</v>
      </c>
      <c r="F81" s="781">
        <v>0</v>
      </c>
      <c r="G81" s="781">
        <v>0</v>
      </c>
      <c r="H81" s="781">
        <v>0</v>
      </c>
      <c r="I81" s="781">
        <v>0</v>
      </c>
      <c r="J81" s="781">
        <v>0</v>
      </c>
      <c r="K81" s="781">
        <v>0</v>
      </c>
      <c r="L81" s="781">
        <v>0</v>
      </c>
      <c r="M81" s="781">
        <v>0</v>
      </c>
      <c r="N81" s="781">
        <v>0</v>
      </c>
      <c r="O81" s="2246">
        <v>0</v>
      </c>
      <c r="P81" s="2246">
        <v>0</v>
      </c>
      <c r="Q81" s="781">
        <v>0</v>
      </c>
      <c r="R81" s="781">
        <v>0</v>
      </c>
      <c r="S81" s="781">
        <v>0</v>
      </c>
      <c r="T81" s="781">
        <v>0</v>
      </c>
      <c r="U81" s="781">
        <v>0</v>
      </c>
      <c r="V81" s="781">
        <v>0</v>
      </c>
      <c r="W81" s="781">
        <v>0</v>
      </c>
      <c r="X81" s="781">
        <v>0</v>
      </c>
      <c r="Y81" s="781">
        <v>0</v>
      </c>
      <c r="Z81" s="781">
        <v>0</v>
      </c>
      <c r="AA81" s="2246">
        <v>0</v>
      </c>
      <c r="AB81" s="2246">
        <v>0</v>
      </c>
      <c r="AC81" s="2246">
        <v>0</v>
      </c>
      <c r="AD81" s="2246">
        <v>0</v>
      </c>
      <c r="AE81" s="2246">
        <v>0</v>
      </c>
      <c r="AF81" s="2246">
        <v>0</v>
      </c>
      <c r="AG81" s="2246">
        <v>0</v>
      </c>
      <c r="AH81" s="2246">
        <v>0</v>
      </c>
      <c r="AI81" s="2246">
        <v>0</v>
      </c>
      <c r="AJ81" s="2246">
        <v>0</v>
      </c>
      <c r="AK81" s="2246">
        <v>0</v>
      </c>
      <c r="AL81" s="2246">
        <v>0</v>
      </c>
    </row>
    <row r="82" spans="1:42" s="352" customFormat="1">
      <c r="A82" s="488" t="s">
        <v>852</v>
      </c>
      <c r="B82" s="791" t="s">
        <v>1565</v>
      </c>
      <c r="C82" s="2246">
        <v>2</v>
      </c>
      <c r="D82" s="2456">
        <v>4</v>
      </c>
      <c r="E82" s="781">
        <v>0</v>
      </c>
      <c r="F82" s="781">
        <v>0</v>
      </c>
      <c r="G82" s="781">
        <v>0</v>
      </c>
      <c r="H82" s="781">
        <v>0</v>
      </c>
      <c r="I82" s="781">
        <v>0</v>
      </c>
      <c r="J82" s="781">
        <v>0</v>
      </c>
      <c r="K82" s="781">
        <v>0</v>
      </c>
      <c r="L82" s="781">
        <v>0</v>
      </c>
      <c r="M82" s="781">
        <v>0</v>
      </c>
      <c r="N82" s="781">
        <v>0</v>
      </c>
      <c r="O82" s="2246">
        <v>3</v>
      </c>
      <c r="P82" s="2246">
        <v>3</v>
      </c>
      <c r="Q82" s="781">
        <v>0</v>
      </c>
      <c r="R82" s="781">
        <v>0</v>
      </c>
      <c r="S82" s="781">
        <v>0</v>
      </c>
      <c r="T82" s="781">
        <v>0</v>
      </c>
      <c r="U82" s="781">
        <v>0</v>
      </c>
      <c r="V82" s="781">
        <v>0</v>
      </c>
      <c r="W82" s="781">
        <v>0</v>
      </c>
      <c r="X82" s="781">
        <v>0</v>
      </c>
      <c r="Y82" s="781">
        <v>0</v>
      </c>
      <c r="Z82" s="781">
        <v>0</v>
      </c>
      <c r="AA82" s="2246">
        <v>2</v>
      </c>
      <c r="AB82" s="2456">
        <v>11</v>
      </c>
      <c r="AC82" s="781">
        <v>0</v>
      </c>
      <c r="AD82" s="781">
        <v>0</v>
      </c>
      <c r="AE82" s="781">
        <v>0</v>
      </c>
      <c r="AF82" s="781">
        <v>0</v>
      </c>
      <c r="AG82" s="781">
        <v>0</v>
      </c>
      <c r="AH82" s="781">
        <v>0</v>
      </c>
      <c r="AI82" s="781">
        <v>0</v>
      </c>
      <c r="AJ82" s="781">
        <v>0</v>
      </c>
      <c r="AK82" s="781">
        <v>0</v>
      </c>
      <c r="AL82" s="781">
        <v>0</v>
      </c>
      <c r="AM82" s="353"/>
    </row>
    <row r="83" spans="1:42" s="352" customFormat="1" ht="15.75" thickBot="1">
      <c r="A83" s="489" t="s">
        <v>853</v>
      </c>
      <c r="B83" s="791" t="s">
        <v>1569</v>
      </c>
      <c r="C83" s="2246"/>
      <c r="D83" s="2456">
        <v>8</v>
      </c>
      <c r="E83" s="781">
        <v>0</v>
      </c>
      <c r="F83" s="781">
        <v>0</v>
      </c>
      <c r="G83" s="781">
        <v>0</v>
      </c>
      <c r="H83" s="781">
        <v>0</v>
      </c>
      <c r="I83" s="781">
        <v>0</v>
      </c>
      <c r="J83" s="781">
        <v>0</v>
      </c>
      <c r="K83" s="781">
        <v>0</v>
      </c>
      <c r="L83" s="781">
        <v>0</v>
      </c>
      <c r="M83" s="781">
        <v>0</v>
      </c>
      <c r="N83" s="781">
        <v>0</v>
      </c>
      <c r="O83" s="2246">
        <v>0</v>
      </c>
      <c r="P83" s="2246">
        <v>0</v>
      </c>
      <c r="Q83" s="781">
        <v>0</v>
      </c>
      <c r="R83" s="781">
        <v>0</v>
      </c>
      <c r="S83" s="781">
        <v>0</v>
      </c>
      <c r="T83" s="781">
        <v>0</v>
      </c>
      <c r="U83" s="781">
        <v>0</v>
      </c>
      <c r="V83" s="781">
        <v>0</v>
      </c>
      <c r="W83" s="781">
        <v>0</v>
      </c>
      <c r="X83" s="781">
        <v>0</v>
      </c>
      <c r="Y83" s="781">
        <v>0</v>
      </c>
      <c r="Z83" s="781">
        <v>0</v>
      </c>
      <c r="AA83" s="2246">
        <v>0</v>
      </c>
      <c r="AB83" s="2246">
        <v>0</v>
      </c>
      <c r="AC83" s="2246">
        <v>0</v>
      </c>
      <c r="AD83" s="2246">
        <v>0</v>
      </c>
      <c r="AE83" s="2246">
        <v>0</v>
      </c>
      <c r="AF83" s="2246">
        <v>0</v>
      </c>
      <c r="AG83" s="2246">
        <v>0</v>
      </c>
      <c r="AH83" s="2246">
        <v>0</v>
      </c>
      <c r="AI83" s="2246">
        <v>0</v>
      </c>
      <c r="AJ83" s="2246">
        <v>0</v>
      </c>
      <c r="AK83" s="2246">
        <v>0</v>
      </c>
      <c r="AL83" s="2246">
        <v>0</v>
      </c>
      <c r="AM83" s="353"/>
    </row>
    <row r="84" spans="1:42" s="505" customFormat="1" ht="15.75" thickBot="1">
      <c r="A84" s="3572" t="s">
        <v>638</v>
      </c>
      <c r="B84" s="3573"/>
      <c r="C84" s="1065"/>
      <c r="D84" s="1065"/>
      <c r="E84" s="1066">
        <f t="shared" ref="E84:N84" si="71">E11+E28+E53+E57+E61+E66+E72</f>
        <v>2294</v>
      </c>
      <c r="F84" s="1067">
        <f t="shared" si="71"/>
        <v>-52</v>
      </c>
      <c r="G84" s="1066">
        <f t="shared" si="71"/>
        <v>2494</v>
      </c>
      <c r="H84" s="1067">
        <f t="shared" si="71"/>
        <v>-52</v>
      </c>
      <c r="I84" s="1066">
        <f t="shared" si="71"/>
        <v>2547</v>
      </c>
      <c r="J84" s="1067">
        <f t="shared" si="71"/>
        <v>-52</v>
      </c>
      <c r="K84" s="1066">
        <f t="shared" si="71"/>
        <v>2522</v>
      </c>
      <c r="L84" s="1067">
        <f t="shared" si="71"/>
        <v>-131</v>
      </c>
      <c r="M84" s="1066">
        <f t="shared" si="71"/>
        <v>3247</v>
      </c>
      <c r="N84" s="1067">
        <f t="shared" si="71"/>
        <v>-207</v>
      </c>
      <c r="O84" s="1065"/>
      <c r="P84" s="1065"/>
      <c r="Q84" s="1066">
        <f t="shared" ref="Q84:Z84" si="72">Q11+Q28+Q53+Q57+Q61+Q66+Q72</f>
        <v>44.5</v>
      </c>
      <c r="R84" s="1067">
        <f t="shared" si="72"/>
        <v>-31</v>
      </c>
      <c r="S84" s="1066">
        <f t="shared" si="72"/>
        <v>44.5</v>
      </c>
      <c r="T84" s="1067">
        <f t="shared" si="72"/>
        <v>-31</v>
      </c>
      <c r="U84" s="1066">
        <f t="shared" si="72"/>
        <v>80</v>
      </c>
      <c r="V84" s="1067">
        <f t="shared" si="72"/>
        <v>-25</v>
      </c>
      <c r="W84" s="1066">
        <f t="shared" si="72"/>
        <v>84.5</v>
      </c>
      <c r="X84" s="1067">
        <f t="shared" si="72"/>
        <v>-25</v>
      </c>
      <c r="Y84" s="1066">
        <f t="shared" si="72"/>
        <v>113.5</v>
      </c>
      <c r="Z84" s="1067">
        <f t="shared" si="72"/>
        <v>-20</v>
      </c>
      <c r="AA84" s="1065"/>
      <c r="AB84" s="1065"/>
      <c r="AC84" s="1066">
        <f t="shared" ref="AC84:AL84" si="73">AC11+AC28+AC53+AC57+AC61+AC66+AC72</f>
        <v>419</v>
      </c>
      <c r="AD84" s="1067">
        <f t="shared" si="73"/>
        <v>0</v>
      </c>
      <c r="AE84" s="1066">
        <f t="shared" si="73"/>
        <v>548</v>
      </c>
      <c r="AF84" s="1067">
        <f t="shared" si="73"/>
        <v>0</v>
      </c>
      <c r="AG84" s="1066">
        <f t="shared" si="73"/>
        <v>607</v>
      </c>
      <c r="AH84" s="1067">
        <f t="shared" si="73"/>
        <v>0</v>
      </c>
      <c r="AI84" s="1066">
        <f t="shared" si="73"/>
        <v>715</v>
      </c>
      <c r="AJ84" s="1067">
        <f t="shared" si="73"/>
        <v>0</v>
      </c>
      <c r="AK84" s="1066">
        <f t="shared" si="73"/>
        <v>715</v>
      </c>
      <c r="AL84" s="1067">
        <f t="shared" si="73"/>
        <v>0</v>
      </c>
      <c r="AM84" s="503"/>
      <c r="AN84" s="504"/>
      <c r="AO84" s="504"/>
      <c r="AP84" s="504"/>
    </row>
    <row r="85" spans="1:42" s="1188" customFormat="1" ht="15.75" thickBot="1">
      <c r="A85" s="1185"/>
      <c r="B85" s="1185"/>
      <c r="C85" s="1185"/>
      <c r="D85" s="1185"/>
      <c r="E85" s="1185"/>
      <c r="F85" s="1185"/>
      <c r="G85" s="1185"/>
      <c r="H85" s="1185"/>
      <c r="I85" s="1185"/>
      <c r="J85" s="1185"/>
      <c r="K85" s="1185"/>
      <c r="L85" s="1185"/>
      <c r="M85" s="1185"/>
      <c r="N85" s="1185"/>
      <c r="O85" s="1185"/>
      <c r="P85" s="1185"/>
      <c r="Q85" s="1185"/>
      <c r="R85" s="1185"/>
      <c r="S85" s="1185"/>
      <c r="T85" s="1185"/>
      <c r="U85" s="1185"/>
      <c r="V85" s="1185"/>
      <c r="W85" s="1185"/>
      <c r="X85" s="1185"/>
      <c r="Y85" s="1185"/>
      <c r="Z85" s="1185"/>
      <c r="AA85" s="1185"/>
      <c r="AB85" s="1185"/>
      <c r="AC85" s="1185"/>
      <c r="AD85" s="1185"/>
      <c r="AE85" s="1185"/>
      <c r="AF85" s="1185"/>
      <c r="AG85" s="1185"/>
      <c r="AH85" s="1185"/>
      <c r="AI85" s="1185"/>
      <c r="AJ85" s="1185"/>
      <c r="AK85" s="1185"/>
      <c r="AL85" s="1185"/>
      <c r="AM85" s="1186"/>
      <c r="AN85" s="1187"/>
      <c r="AO85" s="1187"/>
      <c r="AP85" s="1187"/>
    </row>
    <row r="86" spans="1:42" s="352" customFormat="1" ht="29.25" customHeight="1" thickBot="1">
      <c r="A86" s="3562" t="s">
        <v>1262</v>
      </c>
      <c r="B86" s="3563"/>
      <c r="C86" s="3557" t="s">
        <v>270</v>
      </c>
      <c r="D86" s="3558"/>
      <c r="E86" s="3558"/>
      <c r="F86" s="3558"/>
      <c r="G86" s="3558"/>
      <c r="H86" s="3558"/>
      <c r="I86" s="3558"/>
      <c r="J86" s="3558"/>
      <c r="K86" s="3558"/>
      <c r="L86" s="3558"/>
      <c r="M86" s="3558"/>
      <c r="N86" s="3559"/>
      <c r="O86" s="3557" t="s">
        <v>271</v>
      </c>
      <c r="P86" s="3558"/>
      <c r="Q86" s="3558"/>
      <c r="R86" s="3558"/>
      <c r="S86" s="3558"/>
      <c r="T86" s="3558"/>
      <c r="U86" s="3558"/>
      <c r="V86" s="3558"/>
      <c r="W86" s="3558"/>
      <c r="X86" s="3558"/>
      <c r="Y86" s="3558"/>
      <c r="Z86" s="3559"/>
      <c r="AA86" s="3557" t="s">
        <v>272</v>
      </c>
      <c r="AB86" s="3558"/>
      <c r="AC86" s="3558"/>
      <c r="AD86" s="3558"/>
      <c r="AE86" s="3558"/>
      <c r="AF86" s="3558"/>
      <c r="AG86" s="3558"/>
      <c r="AH86" s="3558"/>
      <c r="AI86" s="3558"/>
      <c r="AJ86" s="3558"/>
      <c r="AK86" s="3558"/>
      <c r="AL86" s="3559"/>
      <c r="AM86" s="353"/>
    </row>
    <row r="87" spans="1:42" s="352" customFormat="1" ht="29.25" customHeight="1">
      <c r="A87" s="3564"/>
      <c r="B87" s="3565"/>
      <c r="C87" s="2086" t="str">
        <f>C9</f>
        <v>2015 г.</v>
      </c>
      <c r="D87" s="2632" t="str">
        <f t="shared" ref="D87:M87" si="74">D9</f>
        <v>2016 г.</v>
      </c>
      <c r="E87" s="3555" t="str">
        <f t="shared" si="74"/>
        <v>2017 г.</v>
      </c>
      <c r="F87" s="3568"/>
      <c r="G87" s="3555" t="str">
        <f t="shared" si="74"/>
        <v>2018 г.</v>
      </c>
      <c r="H87" s="3556"/>
      <c r="I87" s="3555" t="str">
        <f t="shared" si="74"/>
        <v>2019 г.</v>
      </c>
      <c r="J87" s="3556"/>
      <c r="K87" s="3555" t="str">
        <f t="shared" si="74"/>
        <v>2020 г.</v>
      </c>
      <c r="L87" s="3556"/>
      <c r="M87" s="3555" t="str">
        <f t="shared" si="74"/>
        <v>2021 г.</v>
      </c>
      <c r="N87" s="3556"/>
      <c r="O87" s="2633" t="str">
        <f>O9</f>
        <v>2015 г.</v>
      </c>
      <c r="P87" s="2086" t="str">
        <f>P9</f>
        <v>2016 г.</v>
      </c>
      <c r="Q87" s="3555" t="str">
        <f t="shared" ref="Q87" si="75">Q9</f>
        <v>2017 г.</v>
      </c>
      <c r="R87" s="3568"/>
      <c r="S87" s="3555" t="str">
        <f t="shared" ref="S87" si="76">S9</f>
        <v>2018 г.</v>
      </c>
      <c r="T87" s="3556"/>
      <c r="U87" s="3555" t="str">
        <f t="shared" ref="U87" si="77">U9</f>
        <v>2019 г.</v>
      </c>
      <c r="V87" s="3556"/>
      <c r="W87" s="3555" t="str">
        <f t="shared" ref="W87" si="78">W9</f>
        <v>2020 г.</v>
      </c>
      <c r="X87" s="3556"/>
      <c r="Y87" s="3555" t="str">
        <f t="shared" ref="Y87" si="79">Y9</f>
        <v>2021 г.</v>
      </c>
      <c r="Z87" s="3556"/>
      <c r="AA87" s="2086" t="str">
        <f>AA9</f>
        <v>2015 г.</v>
      </c>
      <c r="AB87" s="2086" t="str">
        <f t="shared" ref="AB87:AC87" si="80">AB9</f>
        <v>2016 г.</v>
      </c>
      <c r="AC87" s="3555" t="str">
        <f t="shared" si="80"/>
        <v>2017 г.</v>
      </c>
      <c r="AD87" s="3568"/>
      <c r="AE87" s="3555" t="str">
        <f t="shared" ref="AE87" si="81">AE9</f>
        <v>2018 г.</v>
      </c>
      <c r="AF87" s="3556"/>
      <c r="AG87" s="3555" t="str">
        <f t="shared" ref="AG87" si="82">AG9</f>
        <v>2019 г.</v>
      </c>
      <c r="AH87" s="3556"/>
      <c r="AI87" s="3555" t="str">
        <f t="shared" ref="AI87" si="83">AI9</f>
        <v>2020 г.</v>
      </c>
      <c r="AJ87" s="3556"/>
      <c r="AK87" s="3555" t="str">
        <f t="shared" ref="AK87" si="84">AK9</f>
        <v>2021 г.</v>
      </c>
      <c r="AL87" s="3556"/>
      <c r="AM87" s="353"/>
    </row>
    <row r="88" spans="1:42" s="352" customFormat="1" ht="29.25" customHeight="1" thickBot="1">
      <c r="A88" s="3566"/>
      <c r="B88" s="3567"/>
      <c r="C88" s="2087"/>
      <c r="D88" s="2797" t="s">
        <v>263</v>
      </c>
      <c r="E88" s="2084" t="s">
        <v>1212</v>
      </c>
      <c r="F88" s="2462" t="s">
        <v>1213</v>
      </c>
      <c r="G88" s="2084" t="s">
        <v>1212</v>
      </c>
      <c r="H88" s="2079" t="s">
        <v>1213</v>
      </c>
      <c r="I88" s="2084" t="s">
        <v>1212</v>
      </c>
      <c r="J88" s="2079" t="s">
        <v>1213</v>
      </c>
      <c r="K88" s="2084" t="s">
        <v>1212</v>
      </c>
      <c r="L88" s="2079" t="s">
        <v>1213</v>
      </c>
      <c r="M88" s="2084" t="s">
        <v>1212</v>
      </c>
      <c r="N88" s="2079" t="s">
        <v>1213</v>
      </c>
      <c r="O88" s="2798"/>
      <c r="P88" s="2087" t="s">
        <v>263</v>
      </c>
      <c r="Q88" s="2084" t="s">
        <v>1212</v>
      </c>
      <c r="R88" s="2462" t="s">
        <v>1213</v>
      </c>
      <c r="S88" s="2084" t="s">
        <v>1212</v>
      </c>
      <c r="T88" s="2079" t="s">
        <v>1213</v>
      </c>
      <c r="U88" s="2084" t="s">
        <v>1212</v>
      </c>
      <c r="V88" s="2079" t="s">
        <v>1213</v>
      </c>
      <c r="W88" s="2084" t="s">
        <v>1212</v>
      </c>
      <c r="X88" s="2079" t="s">
        <v>1213</v>
      </c>
      <c r="Y88" s="2084" t="s">
        <v>1212</v>
      </c>
      <c r="Z88" s="2079" t="s">
        <v>1213</v>
      </c>
      <c r="AA88" s="2087"/>
      <c r="AB88" s="2087" t="s">
        <v>263</v>
      </c>
      <c r="AC88" s="2084" t="s">
        <v>1212</v>
      </c>
      <c r="AD88" s="2462" t="s">
        <v>1213</v>
      </c>
      <c r="AE88" s="2084" t="s">
        <v>1212</v>
      </c>
      <c r="AF88" s="2079" t="s">
        <v>1213</v>
      </c>
      <c r="AG88" s="2084" t="s">
        <v>1212</v>
      </c>
      <c r="AH88" s="2079" t="s">
        <v>1213</v>
      </c>
      <c r="AI88" s="2084" t="s">
        <v>1212</v>
      </c>
      <c r="AJ88" s="2079" t="s">
        <v>1213</v>
      </c>
      <c r="AK88" s="2084" t="s">
        <v>1212</v>
      </c>
      <c r="AL88" s="2079" t="s">
        <v>1213</v>
      </c>
      <c r="AM88" s="353"/>
    </row>
    <row r="89" spans="1:42" s="352" customFormat="1" ht="15.75" thickBot="1">
      <c r="A89" s="3560" t="s">
        <v>1230</v>
      </c>
      <c r="B89" s="3561"/>
      <c r="C89" s="2088"/>
      <c r="D89" s="2088"/>
      <c r="E89" s="2447"/>
      <c r="F89" s="2448"/>
      <c r="G89" s="2799"/>
      <c r="H89" s="2800"/>
      <c r="I89" s="2799"/>
      <c r="J89" s="2800"/>
      <c r="K89" s="2799"/>
      <c r="L89" s="2800"/>
      <c r="M89" s="2799"/>
      <c r="N89" s="2800"/>
      <c r="O89" s="2088"/>
      <c r="P89" s="2088"/>
      <c r="Q89" s="2092"/>
      <c r="R89" s="2085"/>
      <c r="S89" s="2092"/>
      <c r="T89" s="2085"/>
      <c r="U89" s="2092"/>
      <c r="V89" s="2085"/>
      <c r="W89" s="2092"/>
      <c r="X89" s="2085"/>
      <c r="Y89" s="2092"/>
      <c r="Z89" s="2085"/>
      <c r="AA89" s="2088"/>
      <c r="AB89" s="2088"/>
      <c r="AC89" s="2092"/>
      <c r="AD89" s="2085"/>
      <c r="AE89" s="2092"/>
      <c r="AF89" s="2085"/>
      <c r="AG89" s="2092"/>
      <c r="AH89" s="2085"/>
      <c r="AI89" s="2092"/>
      <c r="AJ89" s="2085"/>
      <c r="AK89" s="2092"/>
      <c r="AL89" s="2085"/>
      <c r="AM89" s="353"/>
    </row>
    <row r="90" spans="1:42" s="352" customFormat="1">
      <c r="A90" s="1031" t="s">
        <v>98</v>
      </c>
      <c r="B90" s="2246"/>
      <c r="C90" s="2089"/>
      <c r="D90" s="2444"/>
      <c r="E90" s="799"/>
      <c r="F90" s="798"/>
      <c r="G90" s="799"/>
      <c r="H90" s="798"/>
      <c r="I90" s="799"/>
      <c r="J90" s="798"/>
      <c r="K90" s="799"/>
      <c r="L90" s="798"/>
      <c r="M90" s="799"/>
      <c r="N90" s="798"/>
      <c r="O90" s="2089"/>
      <c r="P90" s="2089"/>
      <c r="Q90" s="799"/>
      <c r="R90" s="798"/>
      <c r="S90" s="799"/>
      <c r="T90" s="798"/>
      <c r="U90" s="799"/>
      <c r="V90" s="798"/>
      <c r="W90" s="799"/>
      <c r="X90" s="798"/>
      <c r="Y90" s="799"/>
      <c r="Z90" s="798"/>
      <c r="AA90" s="2089"/>
      <c r="AB90" s="2089"/>
      <c r="AC90" s="799"/>
      <c r="AD90" s="798"/>
      <c r="AE90" s="799"/>
      <c r="AF90" s="798"/>
      <c r="AG90" s="799"/>
      <c r="AH90" s="798"/>
      <c r="AI90" s="799"/>
      <c r="AJ90" s="798"/>
      <c r="AK90" s="799"/>
      <c r="AL90" s="798"/>
      <c r="AM90" s="353"/>
    </row>
    <row r="91" spans="1:42" s="352" customFormat="1">
      <c r="A91" s="1031" t="s">
        <v>99</v>
      </c>
      <c r="B91" s="2246"/>
      <c r="C91" s="2090"/>
      <c r="D91" s="2445"/>
      <c r="E91" s="781"/>
      <c r="F91" s="791"/>
      <c r="G91" s="781"/>
      <c r="H91" s="791"/>
      <c r="I91" s="781"/>
      <c r="J91" s="791"/>
      <c r="K91" s="781"/>
      <c r="L91" s="791"/>
      <c r="M91" s="781"/>
      <c r="N91" s="791"/>
      <c r="O91" s="2090"/>
      <c r="P91" s="2090"/>
      <c r="Q91" s="781"/>
      <c r="R91" s="791"/>
      <c r="S91" s="781"/>
      <c r="T91" s="791"/>
      <c r="U91" s="781"/>
      <c r="V91" s="791"/>
      <c r="W91" s="781"/>
      <c r="X91" s="791"/>
      <c r="Y91" s="781"/>
      <c r="Z91" s="791"/>
      <c r="AA91" s="2090"/>
      <c r="AB91" s="2090"/>
      <c r="AC91" s="781"/>
      <c r="AD91" s="791"/>
      <c r="AE91" s="781"/>
      <c r="AF91" s="791"/>
      <c r="AG91" s="781"/>
      <c r="AH91" s="791"/>
      <c r="AI91" s="781"/>
      <c r="AJ91" s="791"/>
      <c r="AK91" s="781"/>
      <c r="AL91" s="791"/>
      <c r="AM91" s="353"/>
    </row>
    <row r="92" spans="1:42" s="352" customFormat="1">
      <c r="A92" s="1031" t="s">
        <v>101</v>
      </c>
      <c r="B92" s="2246"/>
      <c r="C92" s="2090"/>
      <c r="D92" s="2445"/>
      <c r="E92" s="781"/>
      <c r="F92" s="791"/>
      <c r="G92" s="781"/>
      <c r="H92" s="791"/>
      <c r="I92" s="781"/>
      <c r="J92" s="791"/>
      <c r="K92" s="781"/>
      <c r="L92" s="791"/>
      <c r="M92" s="781"/>
      <c r="N92" s="791"/>
      <c r="O92" s="2090"/>
      <c r="P92" s="2090"/>
      <c r="Q92" s="781"/>
      <c r="R92" s="791"/>
      <c r="S92" s="781"/>
      <c r="T92" s="791"/>
      <c r="U92" s="781"/>
      <c r="V92" s="791"/>
      <c r="W92" s="781"/>
      <c r="X92" s="791"/>
      <c r="Y92" s="781"/>
      <c r="Z92" s="791"/>
      <c r="AA92" s="2090"/>
      <c r="AB92" s="2090"/>
      <c r="AC92" s="781"/>
      <c r="AD92" s="791"/>
      <c r="AE92" s="781"/>
      <c r="AF92" s="791"/>
      <c r="AG92" s="781"/>
      <c r="AH92" s="791"/>
      <c r="AI92" s="781"/>
      <c r="AJ92" s="791"/>
      <c r="AK92" s="781"/>
      <c r="AL92" s="791"/>
      <c r="AM92" s="353"/>
    </row>
    <row r="93" spans="1:42" s="352" customFormat="1">
      <c r="A93" s="1031" t="s">
        <v>197</v>
      </c>
      <c r="B93" s="2246"/>
      <c r="C93" s="2090"/>
      <c r="D93" s="2445"/>
      <c r="E93" s="781"/>
      <c r="F93" s="791"/>
      <c r="G93" s="781"/>
      <c r="H93" s="791"/>
      <c r="I93" s="781"/>
      <c r="J93" s="791"/>
      <c r="K93" s="781"/>
      <c r="L93" s="791"/>
      <c r="M93" s="781"/>
      <c r="N93" s="791"/>
      <c r="O93" s="2090"/>
      <c r="P93" s="2090"/>
      <c r="Q93" s="781"/>
      <c r="R93" s="791"/>
      <c r="S93" s="781"/>
      <c r="T93" s="791"/>
      <c r="U93" s="781"/>
      <c r="V93" s="791"/>
      <c r="W93" s="781"/>
      <c r="X93" s="791"/>
      <c r="Y93" s="781"/>
      <c r="Z93" s="791"/>
      <c r="AA93" s="2090"/>
      <c r="AB93" s="2090"/>
      <c r="AC93" s="781"/>
      <c r="AD93" s="791"/>
      <c r="AE93" s="781"/>
      <c r="AF93" s="791"/>
      <c r="AG93" s="781"/>
      <c r="AH93" s="791"/>
      <c r="AI93" s="781"/>
      <c r="AJ93" s="791"/>
      <c r="AK93" s="781"/>
      <c r="AL93" s="791"/>
      <c r="AM93" s="353"/>
    </row>
    <row r="94" spans="1:42" s="352" customFormat="1">
      <c r="A94" s="1031" t="s">
        <v>199</v>
      </c>
      <c r="B94" s="2246"/>
      <c r="C94" s="2090"/>
      <c r="D94" s="2445"/>
      <c r="E94" s="781"/>
      <c r="F94" s="791"/>
      <c r="G94" s="781"/>
      <c r="H94" s="791"/>
      <c r="I94" s="781"/>
      <c r="J94" s="791"/>
      <c r="K94" s="781"/>
      <c r="L94" s="791"/>
      <c r="M94" s="781"/>
      <c r="N94" s="791"/>
      <c r="O94" s="2090"/>
      <c r="P94" s="2090"/>
      <c r="Q94" s="781"/>
      <c r="R94" s="791"/>
      <c r="S94" s="781"/>
      <c r="T94" s="791"/>
      <c r="U94" s="781"/>
      <c r="V94" s="791"/>
      <c r="W94" s="781"/>
      <c r="X94" s="791"/>
      <c r="Y94" s="781"/>
      <c r="Z94" s="791"/>
      <c r="AA94" s="2090"/>
      <c r="AB94" s="2090"/>
      <c r="AC94" s="781"/>
      <c r="AD94" s="791"/>
      <c r="AE94" s="781"/>
      <c r="AF94" s="791"/>
      <c r="AG94" s="781"/>
      <c r="AH94" s="791"/>
      <c r="AI94" s="781"/>
      <c r="AJ94" s="791"/>
      <c r="AK94" s="781"/>
      <c r="AL94" s="791"/>
      <c r="AM94" s="353"/>
    </row>
    <row r="95" spans="1:42" s="352" customFormat="1">
      <c r="A95" s="1031" t="s">
        <v>201</v>
      </c>
      <c r="B95" s="2246"/>
      <c r="C95" s="2090"/>
      <c r="D95" s="2445"/>
      <c r="E95" s="781"/>
      <c r="F95" s="791"/>
      <c r="G95" s="781"/>
      <c r="H95" s="791"/>
      <c r="I95" s="781"/>
      <c r="J95" s="791"/>
      <c r="K95" s="781"/>
      <c r="L95" s="791"/>
      <c r="M95" s="781"/>
      <c r="N95" s="791"/>
      <c r="O95" s="2090"/>
      <c r="P95" s="2090"/>
      <c r="Q95" s="781"/>
      <c r="R95" s="791"/>
      <c r="S95" s="781"/>
      <c r="T95" s="791"/>
      <c r="U95" s="781"/>
      <c r="V95" s="791"/>
      <c r="W95" s="781"/>
      <c r="X95" s="791"/>
      <c r="Y95" s="781"/>
      <c r="Z95" s="791"/>
      <c r="AA95" s="2090"/>
      <c r="AB95" s="2090"/>
      <c r="AC95" s="781"/>
      <c r="AD95" s="791"/>
      <c r="AE95" s="781"/>
      <c r="AF95" s="791"/>
      <c r="AG95" s="781"/>
      <c r="AH95" s="791"/>
      <c r="AI95" s="781"/>
      <c r="AJ95" s="791"/>
      <c r="AK95" s="781"/>
      <c r="AL95" s="791"/>
      <c r="AM95" s="353"/>
    </row>
    <row r="96" spans="1:42" s="352" customFormat="1">
      <c r="A96" s="1031" t="s">
        <v>203</v>
      </c>
      <c r="B96" s="2246"/>
      <c r="C96" s="2090"/>
      <c r="D96" s="2445"/>
      <c r="E96" s="781"/>
      <c r="F96" s="791"/>
      <c r="G96" s="781"/>
      <c r="H96" s="791"/>
      <c r="I96" s="781"/>
      <c r="J96" s="791"/>
      <c r="K96" s="781"/>
      <c r="L96" s="791"/>
      <c r="M96" s="781"/>
      <c r="N96" s="791"/>
      <c r="O96" s="2090"/>
      <c r="P96" s="2090"/>
      <c r="Q96" s="781"/>
      <c r="R96" s="791"/>
      <c r="S96" s="781"/>
      <c r="T96" s="791"/>
      <c r="U96" s="781"/>
      <c r="V96" s="791"/>
      <c r="W96" s="781"/>
      <c r="X96" s="791"/>
      <c r="Y96" s="781"/>
      <c r="Z96" s="791"/>
      <c r="AA96" s="2090"/>
      <c r="AB96" s="2090"/>
      <c r="AC96" s="781"/>
      <c r="AD96" s="791"/>
      <c r="AE96" s="781"/>
      <c r="AF96" s="791"/>
      <c r="AG96" s="781"/>
      <c r="AH96" s="791"/>
      <c r="AI96" s="781"/>
      <c r="AJ96" s="791"/>
      <c r="AK96" s="781"/>
      <c r="AL96" s="791"/>
      <c r="AM96" s="353"/>
    </row>
    <row r="97" spans="1:39" s="352" customFormat="1">
      <c r="A97" s="1031" t="s">
        <v>205</v>
      </c>
      <c r="B97" s="2246"/>
      <c r="C97" s="2090"/>
      <c r="D97" s="2445"/>
      <c r="E97" s="781"/>
      <c r="F97" s="791"/>
      <c r="G97" s="781"/>
      <c r="H97" s="791"/>
      <c r="I97" s="781"/>
      <c r="J97" s="791"/>
      <c r="K97" s="781"/>
      <c r="L97" s="791"/>
      <c r="M97" s="781"/>
      <c r="N97" s="791"/>
      <c r="O97" s="2090"/>
      <c r="P97" s="2090"/>
      <c r="Q97" s="781"/>
      <c r="R97" s="791"/>
      <c r="S97" s="781"/>
      <c r="T97" s="791"/>
      <c r="U97" s="781"/>
      <c r="V97" s="791"/>
      <c r="W97" s="781"/>
      <c r="X97" s="791"/>
      <c r="Y97" s="781"/>
      <c r="Z97" s="791"/>
      <c r="AA97" s="2090"/>
      <c r="AB97" s="2090"/>
      <c r="AC97" s="781"/>
      <c r="AD97" s="791"/>
      <c r="AE97" s="781"/>
      <c r="AF97" s="791"/>
      <c r="AG97" s="781"/>
      <c r="AH97" s="791"/>
      <c r="AI97" s="781"/>
      <c r="AJ97" s="791"/>
      <c r="AK97" s="781"/>
      <c r="AL97" s="791"/>
      <c r="AM97" s="353"/>
    </row>
    <row r="98" spans="1:39" s="352" customFormat="1">
      <c r="A98" s="1031" t="s">
        <v>207</v>
      </c>
      <c r="B98" s="2246"/>
      <c r="C98" s="2090"/>
      <c r="D98" s="2445"/>
      <c r="E98" s="781"/>
      <c r="F98" s="791"/>
      <c r="G98" s="781"/>
      <c r="H98" s="791"/>
      <c r="I98" s="781"/>
      <c r="J98" s="791"/>
      <c r="K98" s="781"/>
      <c r="L98" s="791"/>
      <c r="M98" s="781"/>
      <c r="N98" s="791"/>
      <c r="O98" s="2090"/>
      <c r="P98" s="2090"/>
      <c r="Q98" s="781"/>
      <c r="R98" s="791"/>
      <c r="S98" s="781"/>
      <c r="T98" s="791"/>
      <c r="U98" s="781"/>
      <c r="V98" s="791"/>
      <c r="W98" s="781"/>
      <c r="X98" s="791"/>
      <c r="Y98" s="781"/>
      <c r="Z98" s="791"/>
      <c r="AA98" s="2090"/>
      <c r="AB98" s="2090"/>
      <c r="AC98" s="781"/>
      <c r="AD98" s="791"/>
      <c r="AE98" s="781"/>
      <c r="AF98" s="791"/>
      <c r="AG98" s="781"/>
      <c r="AH98" s="791"/>
      <c r="AI98" s="781"/>
      <c r="AJ98" s="791"/>
      <c r="AK98" s="781"/>
      <c r="AL98" s="791"/>
      <c r="AM98" s="353"/>
    </row>
    <row r="99" spans="1:39" s="352" customFormat="1" ht="15.75" thickBot="1">
      <c r="A99" s="1245" t="s">
        <v>1261</v>
      </c>
      <c r="B99" s="2246"/>
      <c r="C99" s="2091"/>
      <c r="D99" s="2446"/>
      <c r="E99" s="2241"/>
      <c r="F99" s="2242"/>
      <c r="G99" s="2241"/>
      <c r="H99" s="2242"/>
      <c r="I99" s="2241"/>
      <c r="J99" s="2242"/>
      <c r="K99" s="2241"/>
      <c r="L99" s="2242"/>
      <c r="M99" s="2241"/>
      <c r="N99" s="2242"/>
      <c r="O99" s="2091"/>
      <c r="P99" s="2091"/>
      <c r="Q99" s="2241"/>
      <c r="R99" s="2242"/>
      <c r="S99" s="2241"/>
      <c r="T99" s="2242"/>
      <c r="U99" s="2241"/>
      <c r="V99" s="2242"/>
      <c r="W99" s="2241"/>
      <c r="X99" s="2242"/>
      <c r="Y99" s="2241"/>
      <c r="Z99" s="2242"/>
      <c r="AA99" s="2091"/>
      <c r="AB99" s="2091"/>
      <c r="AC99" s="2241"/>
      <c r="AD99" s="2242"/>
      <c r="AE99" s="2241"/>
      <c r="AF99" s="2242"/>
      <c r="AG99" s="2241"/>
      <c r="AH99" s="2242"/>
      <c r="AI99" s="2241"/>
      <c r="AJ99" s="2242"/>
      <c r="AK99" s="2241"/>
      <c r="AL99" s="2242"/>
      <c r="AM99" s="353"/>
    </row>
    <row r="100" spans="1:39" s="352" customFormat="1" ht="15.75" thickBot="1">
      <c r="A100" s="3560" t="s">
        <v>1231</v>
      </c>
      <c r="B100" s="3561"/>
      <c r="C100" s="2088"/>
      <c r="D100" s="2088"/>
      <c r="E100" s="2447"/>
      <c r="F100" s="2448"/>
      <c r="G100" s="2447"/>
      <c r="H100" s="2448"/>
      <c r="I100" s="2447"/>
      <c r="J100" s="2448"/>
      <c r="K100" s="2447"/>
      <c r="L100" s="2448"/>
      <c r="M100" s="2447"/>
      <c r="N100" s="2448"/>
      <c r="O100" s="2088"/>
      <c r="P100" s="2088"/>
      <c r="Q100" s="2447"/>
      <c r="R100" s="2448"/>
      <c r="S100" s="2447"/>
      <c r="T100" s="2448"/>
      <c r="U100" s="2447"/>
      <c r="V100" s="2448"/>
      <c r="W100" s="2447"/>
      <c r="X100" s="2448"/>
      <c r="Y100" s="2447"/>
      <c r="Z100" s="2448"/>
      <c r="AA100" s="2088"/>
      <c r="AB100" s="2088"/>
      <c r="AC100" s="2447"/>
      <c r="AD100" s="2448"/>
      <c r="AE100" s="2447"/>
      <c r="AF100" s="2448"/>
      <c r="AG100" s="2447"/>
      <c r="AH100" s="2448"/>
      <c r="AI100" s="2447"/>
      <c r="AJ100" s="2448"/>
      <c r="AK100" s="2447"/>
      <c r="AL100" s="2448"/>
      <c r="AM100" s="353"/>
    </row>
    <row r="101" spans="1:39" s="352" customFormat="1">
      <c r="A101" s="1031" t="s">
        <v>105</v>
      </c>
      <c r="B101" s="2246"/>
      <c r="C101" s="2089"/>
      <c r="D101" s="2444"/>
      <c r="E101" s="799"/>
      <c r="F101" s="798"/>
      <c r="G101" s="799"/>
      <c r="H101" s="798"/>
      <c r="I101" s="799"/>
      <c r="J101" s="798"/>
      <c r="K101" s="799"/>
      <c r="L101" s="798"/>
      <c r="M101" s="799"/>
      <c r="N101" s="798"/>
      <c r="O101" s="2089"/>
      <c r="P101" s="2089"/>
      <c r="Q101" s="799"/>
      <c r="R101" s="798"/>
      <c r="S101" s="799"/>
      <c r="T101" s="798"/>
      <c r="U101" s="799"/>
      <c r="V101" s="798"/>
      <c r="W101" s="799"/>
      <c r="X101" s="798"/>
      <c r="Y101" s="799"/>
      <c r="Z101" s="798"/>
      <c r="AA101" s="2089"/>
      <c r="AB101" s="2089"/>
      <c r="AC101" s="799"/>
      <c r="AD101" s="798"/>
      <c r="AE101" s="799"/>
      <c r="AF101" s="798"/>
      <c r="AG101" s="799"/>
      <c r="AH101" s="798"/>
      <c r="AI101" s="799"/>
      <c r="AJ101" s="798"/>
      <c r="AK101" s="799"/>
      <c r="AL101" s="798"/>
      <c r="AM101" s="353"/>
    </row>
    <row r="102" spans="1:39" s="352" customFormat="1">
      <c r="A102" s="1031" t="s">
        <v>107</v>
      </c>
      <c r="B102" s="2246"/>
      <c r="C102" s="2090"/>
      <c r="D102" s="2445"/>
      <c r="E102" s="781"/>
      <c r="F102" s="791"/>
      <c r="G102" s="781"/>
      <c r="H102" s="791"/>
      <c r="I102" s="781"/>
      <c r="J102" s="791"/>
      <c r="K102" s="781"/>
      <c r="L102" s="791"/>
      <c r="M102" s="781"/>
      <c r="N102" s="791"/>
      <c r="O102" s="2090"/>
      <c r="P102" s="2090"/>
      <c r="Q102" s="781"/>
      <c r="R102" s="791"/>
      <c r="S102" s="781"/>
      <c r="T102" s="791"/>
      <c r="U102" s="781"/>
      <c r="V102" s="791"/>
      <c r="W102" s="781"/>
      <c r="X102" s="791"/>
      <c r="Y102" s="781"/>
      <c r="Z102" s="791"/>
      <c r="AA102" s="2090"/>
      <c r="AB102" s="2090"/>
      <c r="AC102" s="781"/>
      <c r="AD102" s="791"/>
      <c r="AE102" s="781"/>
      <c r="AF102" s="791"/>
      <c r="AG102" s="781"/>
      <c r="AH102" s="791"/>
      <c r="AI102" s="781"/>
      <c r="AJ102" s="791"/>
      <c r="AK102" s="781"/>
      <c r="AL102" s="791"/>
      <c r="AM102" s="353"/>
    </row>
    <row r="103" spans="1:39" s="352" customFormat="1">
      <c r="A103" s="1031" t="s">
        <v>225</v>
      </c>
      <c r="B103" s="2246"/>
      <c r="C103" s="2090"/>
      <c r="D103" s="2445"/>
      <c r="E103" s="781"/>
      <c r="F103" s="791"/>
      <c r="G103" s="781"/>
      <c r="H103" s="791"/>
      <c r="I103" s="781"/>
      <c r="J103" s="791"/>
      <c r="K103" s="781"/>
      <c r="L103" s="791"/>
      <c r="M103" s="781"/>
      <c r="N103" s="791"/>
      <c r="O103" s="2090"/>
      <c r="P103" s="2090"/>
      <c r="Q103" s="781"/>
      <c r="R103" s="791"/>
      <c r="S103" s="781"/>
      <c r="T103" s="791"/>
      <c r="U103" s="781"/>
      <c r="V103" s="791"/>
      <c r="W103" s="781"/>
      <c r="X103" s="791"/>
      <c r="Y103" s="781"/>
      <c r="Z103" s="791"/>
      <c r="AA103" s="2090"/>
      <c r="AB103" s="2090"/>
      <c r="AC103" s="781"/>
      <c r="AD103" s="791"/>
      <c r="AE103" s="781"/>
      <c r="AF103" s="791"/>
      <c r="AG103" s="781"/>
      <c r="AH103" s="791"/>
      <c r="AI103" s="781"/>
      <c r="AJ103" s="791"/>
      <c r="AK103" s="781"/>
      <c r="AL103" s="791"/>
      <c r="AM103" s="353"/>
    </row>
    <row r="104" spans="1:39" s="352" customFormat="1">
      <c r="A104" s="1031" t="s">
        <v>306</v>
      </c>
      <c r="B104" s="2246"/>
      <c r="C104" s="2090"/>
      <c r="D104" s="2445"/>
      <c r="E104" s="781"/>
      <c r="F104" s="791"/>
      <c r="G104" s="781"/>
      <c r="H104" s="791"/>
      <c r="I104" s="781"/>
      <c r="J104" s="791"/>
      <c r="K104" s="781"/>
      <c r="L104" s="791"/>
      <c r="M104" s="781"/>
      <c r="N104" s="791"/>
      <c r="O104" s="2090"/>
      <c r="P104" s="2090"/>
      <c r="Q104" s="781"/>
      <c r="R104" s="791"/>
      <c r="S104" s="781"/>
      <c r="T104" s="791"/>
      <c r="U104" s="781"/>
      <c r="V104" s="791"/>
      <c r="W104" s="781"/>
      <c r="X104" s="791"/>
      <c r="Y104" s="781"/>
      <c r="Z104" s="791"/>
      <c r="AA104" s="2090"/>
      <c r="AB104" s="2090"/>
      <c r="AC104" s="781"/>
      <c r="AD104" s="791"/>
      <c r="AE104" s="781"/>
      <c r="AF104" s="791"/>
      <c r="AG104" s="781"/>
      <c r="AH104" s="791"/>
      <c r="AI104" s="781"/>
      <c r="AJ104" s="791"/>
      <c r="AK104" s="781"/>
      <c r="AL104" s="791"/>
      <c r="AM104" s="353"/>
    </row>
    <row r="105" spans="1:39" s="352" customFormat="1">
      <c r="A105" s="1031" t="s">
        <v>308</v>
      </c>
      <c r="B105" s="2246"/>
      <c r="C105" s="2090"/>
      <c r="D105" s="2445"/>
      <c r="E105" s="781"/>
      <c r="F105" s="791"/>
      <c r="G105" s="781"/>
      <c r="H105" s="791"/>
      <c r="I105" s="781"/>
      <c r="J105" s="791"/>
      <c r="K105" s="781"/>
      <c r="L105" s="791"/>
      <c r="M105" s="781"/>
      <c r="N105" s="791"/>
      <c r="O105" s="2090"/>
      <c r="P105" s="2090"/>
      <c r="Q105" s="781"/>
      <c r="R105" s="791"/>
      <c r="S105" s="781"/>
      <c r="T105" s="791"/>
      <c r="U105" s="781"/>
      <c r="V105" s="791"/>
      <c r="W105" s="781"/>
      <c r="X105" s="791"/>
      <c r="Y105" s="781"/>
      <c r="Z105" s="791"/>
      <c r="AA105" s="2090"/>
      <c r="AB105" s="2090"/>
      <c r="AC105" s="781"/>
      <c r="AD105" s="791"/>
      <c r="AE105" s="781"/>
      <c r="AF105" s="791"/>
      <c r="AG105" s="781"/>
      <c r="AH105" s="791"/>
      <c r="AI105" s="781"/>
      <c r="AJ105" s="791"/>
      <c r="AK105" s="781"/>
      <c r="AL105" s="791"/>
      <c r="AM105" s="353"/>
    </row>
    <row r="106" spans="1:39" s="352" customFormat="1">
      <c r="A106" s="1031" t="s">
        <v>310</v>
      </c>
      <c r="B106" s="2246"/>
      <c r="C106" s="2090"/>
      <c r="D106" s="2445"/>
      <c r="E106" s="781"/>
      <c r="F106" s="791"/>
      <c r="G106" s="781"/>
      <c r="H106" s="791"/>
      <c r="I106" s="781"/>
      <c r="J106" s="791"/>
      <c r="K106" s="781"/>
      <c r="L106" s="791"/>
      <c r="M106" s="781"/>
      <c r="N106" s="791"/>
      <c r="O106" s="2090"/>
      <c r="P106" s="2090"/>
      <c r="Q106" s="781"/>
      <c r="R106" s="791"/>
      <c r="S106" s="781"/>
      <c r="T106" s="791"/>
      <c r="U106" s="781"/>
      <c r="V106" s="791"/>
      <c r="W106" s="781"/>
      <c r="X106" s="791"/>
      <c r="Y106" s="781"/>
      <c r="Z106" s="791"/>
      <c r="AA106" s="2090"/>
      <c r="AB106" s="2090"/>
      <c r="AC106" s="781"/>
      <c r="AD106" s="791"/>
      <c r="AE106" s="781"/>
      <c r="AF106" s="791"/>
      <c r="AG106" s="781"/>
      <c r="AH106" s="791"/>
      <c r="AI106" s="781"/>
      <c r="AJ106" s="791"/>
      <c r="AK106" s="781"/>
      <c r="AL106" s="791"/>
      <c r="AM106" s="353"/>
    </row>
    <row r="107" spans="1:39" s="352" customFormat="1">
      <c r="A107" s="1031" t="s">
        <v>312</v>
      </c>
      <c r="B107" s="2246"/>
      <c r="C107" s="2090"/>
      <c r="D107" s="2445"/>
      <c r="E107" s="781"/>
      <c r="F107" s="791"/>
      <c r="G107" s="781"/>
      <c r="H107" s="791"/>
      <c r="I107" s="781"/>
      <c r="J107" s="791"/>
      <c r="K107" s="781"/>
      <c r="L107" s="791"/>
      <c r="M107" s="781"/>
      <c r="N107" s="791"/>
      <c r="O107" s="2090"/>
      <c r="P107" s="2090"/>
      <c r="Q107" s="781"/>
      <c r="R107" s="791"/>
      <c r="S107" s="781"/>
      <c r="T107" s="791"/>
      <c r="U107" s="781"/>
      <c r="V107" s="791"/>
      <c r="W107" s="781"/>
      <c r="X107" s="791"/>
      <c r="Y107" s="781"/>
      <c r="Z107" s="791"/>
      <c r="AA107" s="2090"/>
      <c r="AB107" s="2090"/>
      <c r="AC107" s="781"/>
      <c r="AD107" s="791"/>
      <c r="AE107" s="781"/>
      <c r="AF107" s="791"/>
      <c r="AG107" s="781"/>
      <c r="AH107" s="791"/>
      <c r="AI107" s="781"/>
      <c r="AJ107" s="791"/>
      <c r="AK107" s="781"/>
      <c r="AL107" s="791"/>
      <c r="AM107" s="353"/>
    </row>
    <row r="108" spans="1:39" s="352" customFormat="1">
      <c r="A108" s="1031" t="s">
        <v>314</v>
      </c>
      <c r="B108" s="2246"/>
      <c r="C108" s="2090"/>
      <c r="D108" s="2445"/>
      <c r="E108" s="781"/>
      <c r="F108" s="791"/>
      <c r="G108" s="781"/>
      <c r="H108" s="791"/>
      <c r="I108" s="781"/>
      <c r="J108" s="791"/>
      <c r="K108" s="781"/>
      <c r="L108" s="791"/>
      <c r="M108" s="781"/>
      <c r="N108" s="791"/>
      <c r="O108" s="2090"/>
      <c r="P108" s="2090"/>
      <c r="Q108" s="781"/>
      <c r="R108" s="791"/>
      <c r="S108" s="781"/>
      <c r="T108" s="791"/>
      <c r="U108" s="781"/>
      <c r="V108" s="791"/>
      <c r="W108" s="781"/>
      <c r="X108" s="791"/>
      <c r="Y108" s="781"/>
      <c r="Z108" s="791"/>
      <c r="AA108" s="2090"/>
      <c r="AB108" s="2090"/>
      <c r="AC108" s="781"/>
      <c r="AD108" s="791"/>
      <c r="AE108" s="781"/>
      <c r="AF108" s="791"/>
      <c r="AG108" s="781"/>
      <c r="AH108" s="791"/>
      <c r="AI108" s="781"/>
      <c r="AJ108" s="791"/>
      <c r="AK108" s="781"/>
      <c r="AL108" s="791"/>
      <c r="AM108" s="353"/>
    </row>
    <row r="109" spans="1:39" s="352" customFormat="1">
      <c r="A109" s="1031" t="s">
        <v>316</v>
      </c>
      <c r="B109" s="2246"/>
      <c r="C109" s="2090"/>
      <c r="D109" s="2445"/>
      <c r="E109" s="781"/>
      <c r="F109" s="791"/>
      <c r="G109" s="781"/>
      <c r="H109" s="791"/>
      <c r="I109" s="781"/>
      <c r="J109" s="791"/>
      <c r="K109" s="781"/>
      <c r="L109" s="791"/>
      <c r="M109" s="781"/>
      <c r="N109" s="791"/>
      <c r="O109" s="2090"/>
      <c r="P109" s="2090"/>
      <c r="Q109" s="781"/>
      <c r="R109" s="791"/>
      <c r="S109" s="781"/>
      <c r="T109" s="791"/>
      <c r="U109" s="781"/>
      <c r="V109" s="791"/>
      <c r="W109" s="781"/>
      <c r="X109" s="791"/>
      <c r="Y109" s="781"/>
      <c r="Z109" s="791"/>
      <c r="AA109" s="2090"/>
      <c r="AB109" s="2090"/>
      <c r="AC109" s="781"/>
      <c r="AD109" s="791"/>
      <c r="AE109" s="781"/>
      <c r="AF109" s="791"/>
      <c r="AG109" s="781"/>
      <c r="AH109" s="791"/>
      <c r="AI109" s="781"/>
      <c r="AJ109" s="791"/>
      <c r="AK109" s="781"/>
      <c r="AL109" s="791"/>
      <c r="AM109" s="353"/>
    </row>
    <row r="110" spans="1:39" s="352" customFormat="1">
      <c r="A110" s="1031" t="s">
        <v>320</v>
      </c>
      <c r="B110" s="2246"/>
      <c r="C110" s="2090"/>
      <c r="D110" s="2445"/>
      <c r="E110" s="781"/>
      <c r="F110" s="791"/>
      <c r="G110" s="781"/>
      <c r="H110" s="791"/>
      <c r="I110" s="781"/>
      <c r="J110" s="791"/>
      <c r="K110" s="781"/>
      <c r="L110" s="791"/>
      <c r="M110" s="781"/>
      <c r="N110" s="791"/>
      <c r="O110" s="2090"/>
      <c r="P110" s="2090"/>
      <c r="Q110" s="781"/>
      <c r="R110" s="791"/>
      <c r="S110" s="781"/>
      <c r="T110" s="791"/>
      <c r="U110" s="781"/>
      <c r="V110" s="791"/>
      <c r="W110" s="781"/>
      <c r="X110" s="791"/>
      <c r="Y110" s="781"/>
      <c r="Z110" s="791"/>
      <c r="AA110" s="2090"/>
      <c r="AB110" s="2090"/>
      <c r="AC110" s="781"/>
      <c r="AD110" s="791"/>
      <c r="AE110" s="781"/>
      <c r="AF110" s="791"/>
      <c r="AG110" s="781"/>
      <c r="AH110" s="791"/>
      <c r="AI110" s="781"/>
      <c r="AJ110" s="791"/>
      <c r="AK110" s="781"/>
      <c r="AL110" s="791"/>
      <c r="AM110" s="353"/>
    </row>
    <row r="111" spans="1:39" s="352" customFormat="1">
      <c r="A111" s="1031" t="s">
        <v>322</v>
      </c>
      <c r="B111" s="2246"/>
      <c r="C111" s="2090"/>
      <c r="D111" s="2445"/>
      <c r="E111" s="781"/>
      <c r="F111" s="791"/>
      <c r="G111" s="781"/>
      <c r="H111" s="791"/>
      <c r="I111" s="781"/>
      <c r="J111" s="791"/>
      <c r="K111" s="781"/>
      <c r="L111" s="791"/>
      <c r="M111" s="781"/>
      <c r="N111" s="791"/>
      <c r="O111" s="2090"/>
      <c r="P111" s="2090"/>
      <c r="Q111" s="781"/>
      <c r="R111" s="791"/>
      <c r="S111" s="781"/>
      <c r="T111" s="791"/>
      <c r="U111" s="781"/>
      <c r="V111" s="791"/>
      <c r="W111" s="781"/>
      <c r="X111" s="791"/>
      <c r="Y111" s="781"/>
      <c r="Z111" s="791"/>
      <c r="AA111" s="2090"/>
      <c r="AB111" s="2090"/>
      <c r="AC111" s="781"/>
      <c r="AD111" s="791"/>
      <c r="AE111" s="781"/>
      <c r="AF111" s="791"/>
      <c r="AG111" s="781"/>
      <c r="AH111" s="791"/>
      <c r="AI111" s="781"/>
      <c r="AJ111" s="791"/>
      <c r="AK111" s="781"/>
      <c r="AL111" s="791"/>
      <c r="AM111" s="353"/>
    </row>
    <row r="112" spans="1:39" s="352" customFormat="1">
      <c r="A112" s="1031" t="s">
        <v>324</v>
      </c>
      <c r="B112" s="2246"/>
      <c r="C112" s="2090"/>
      <c r="D112" s="2445"/>
      <c r="E112" s="781"/>
      <c r="F112" s="791"/>
      <c r="G112" s="781"/>
      <c r="H112" s="791"/>
      <c r="I112" s="781"/>
      <c r="J112" s="791"/>
      <c r="K112" s="781"/>
      <c r="L112" s="791"/>
      <c r="M112" s="781"/>
      <c r="N112" s="791"/>
      <c r="O112" s="2090"/>
      <c r="P112" s="2090"/>
      <c r="Q112" s="781"/>
      <c r="R112" s="791"/>
      <c r="S112" s="781"/>
      <c r="T112" s="791"/>
      <c r="U112" s="781"/>
      <c r="V112" s="791"/>
      <c r="W112" s="781"/>
      <c r="X112" s="791"/>
      <c r="Y112" s="781"/>
      <c r="Z112" s="791"/>
      <c r="AA112" s="2090"/>
      <c r="AB112" s="2090"/>
      <c r="AC112" s="781"/>
      <c r="AD112" s="791"/>
      <c r="AE112" s="781"/>
      <c r="AF112" s="791"/>
      <c r="AG112" s="781"/>
      <c r="AH112" s="791"/>
      <c r="AI112" s="781"/>
      <c r="AJ112" s="791"/>
      <c r="AK112" s="781"/>
      <c r="AL112" s="791"/>
      <c r="AM112" s="353"/>
    </row>
    <row r="113" spans="1:39" s="352" customFormat="1">
      <c r="A113" s="1031" t="s">
        <v>326</v>
      </c>
      <c r="B113" s="2246"/>
      <c r="C113" s="2090"/>
      <c r="D113" s="2445"/>
      <c r="E113" s="781"/>
      <c r="F113" s="791"/>
      <c r="G113" s="781"/>
      <c r="H113" s="791"/>
      <c r="I113" s="781"/>
      <c r="J113" s="791"/>
      <c r="K113" s="781"/>
      <c r="L113" s="791"/>
      <c r="M113" s="781"/>
      <c r="N113" s="791"/>
      <c r="O113" s="2090"/>
      <c r="P113" s="2090"/>
      <c r="Q113" s="781"/>
      <c r="R113" s="791"/>
      <c r="S113" s="781"/>
      <c r="T113" s="791"/>
      <c r="U113" s="781"/>
      <c r="V113" s="791"/>
      <c r="W113" s="781"/>
      <c r="X113" s="791"/>
      <c r="Y113" s="781"/>
      <c r="Z113" s="791"/>
      <c r="AA113" s="2090"/>
      <c r="AB113" s="2090"/>
      <c r="AC113" s="781"/>
      <c r="AD113" s="791"/>
      <c r="AE113" s="781"/>
      <c r="AF113" s="791"/>
      <c r="AG113" s="781"/>
      <c r="AH113" s="791"/>
      <c r="AI113" s="781"/>
      <c r="AJ113" s="791"/>
      <c r="AK113" s="781"/>
      <c r="AL113" s="791"/>
      <c r="AM113" s="353"/>
    </row>
    <row r="114" spans="1:39" s="352" customFormat="1">
      <c r="A114" s="1031" t="s">
        <v>620</v>
      </c>
      <c r="B114" s="2246"/>
      <c r="C114" s="2090"/>
      <c r="D114" s="2445"/>
      <c r="E114" s="781"/>
      <c r="F114" s="791"/>
      <c r="G114" s="781"/>
      <c r="H114" s="791"/>
      <c r="I114" s="781"/>
      <c r="J114" s="791"/>
      <c r="K114" s="781"/>
      <c r="L114" s="791"/>
      <c r="M114" s="781"/>
      <c r="N114" s="791"/>
      <c r="O114" s="2090"/>
      <c r="P114" s="2090"/>
      <c r="Q114" s="781"/>
      <c r="R114" s="791"/>
      <c r="S114" s="781"/>
      <c r="T114" s="791"/>
      <c r="U114" s="781"/>
      <c r="V114" s="791"/>
      <c r="W114" s="781"/>
      <c r="X114" s="791"/>
      <c r="Y114" s="781"/>
      <c r="Z114" s="791"/>
      <c r="AA114" s="2090"/>
      <c r="AB114" s="2090"/>
      <c r="AC114" s="781"/>
      <c r="AD114" s="791"/>
      <c r="AE114" s="781"/>
      <c r="AF114" s="791"/>
      <c r="AG114" s="781"/>
      <c r="AH114" s="791"/>
      <c r="AI114" s="781"/>
      <c r="AJ114" s="791"/>
      <c r="AK114" s="781"/>
      <c r="AL114" s="791"/>
      <c r="AM114" s="353"/>
    </row>
    <row r="115" spans="1:39" s="352" customFormat="1" ht="15.75" thickBot="1">
      <c r="A115" s="1031" t="s">
        <v>811</v>
      </c>
      <c r="B115" s="2246"/>
      <c r="C115" s="2091"/>
      <c r="D115" s="2446"/>
      <c r="E115" s="2241"/>
      <c r="F115" s="2242"/>
      <c r="G115" s="2241"/>
      <c r="H115" s="2242"/>
      <c r="I115" s="2241"/>
      <c r="J115" s="2242"/>
      <c r="K115" s="2241"/>
      <c r="L115" s="2242"/>
      <c r="M115" s="2241"/>
      <c r="N115" s="2242"/>
      <c r="O115" s="2091"/>
      <c r="P115" s="2091"/>
      <c r="Q115" s="2241"/>
      <c r="R115" s="2242"/>
      <c r="S115" s="2241"/>
      <c r="T115" s="2242"/>
      <c r="U115" s="2241"/>
      <c r="V115" s="2242"/>
      <c r="W115" s="2241"/>
      <c r="X115" s="2242"/>
      <c r="Y115" s="2241"/>
      <c r="Z115" s="2242"/>
      <c r="AA115" s="2091"/>
      <c r="AB115" s="2091"/>
      <c r="AC115" s="2241"/>
      <c r="AD115" s="2242"/>
      <c r="AE115" s="2241"/>
      <c r="AF115" s="2242"/>
      <c r="AG115" s="2241"/>
      <c r="AH115" s="2242"/>
      <c r="AI115" s="2241"/>
      <c r="AJ115" s="2242"/>
      <c r="AK115" s="2241"/>
      <c r="AL115" s="2242"/>
      <c r="AM115" s="353"/>
    </row>
    <row r="116" spans="1:39" s="352" customFormat="1">
      <c r="A116" s="367"/>
      <c r="B116" s="368" t="str">
        <f>'Приложение '!B56</f>
        <v>Дата: 27.06.2016г.</v>
      </c>
      <c r="C116" s="353"/>
      <c r="D116" s="353"/>
      <c r="E116" s="353"/>
      <c r="F116" s="353"/>
      <c r="G116" s="353"/>
      <c r="H116" s="382"/>
      <c r="I116" s="353"/>
      <c r="J116" s="382"/>
      <c r="K116" s="353"/>
      <c r="L116" s="353"/>
      <c r="M116" s="353"/>
      <c r="N116" s="382"/>
      <c r="O116" s="353"/>
      <c r="P116" s="353"/>
      <c r="Q116" s="353"/>
      <c r="R116" s="382"/>
      <c r="S116" s="353"/>
      <c r="T116" s="382"/>
      <c r="U116" s="353"/>
      <c r="V116" s="382"/>
      <c r="W116" s="353"/>
      <c r="X116" s="382"/>
      <c r="Y116" s="353"/>
      <c r="Z116" s="382"/>
      <c r="AA116" s="353"/>
      <c r="AB116" s="353"/>
      <c r="AC116" s="353"/>
      <c r="AD116" s="382"/>
      <c r="AE116" s="353"/>
      <c r="AF116" s="382"/>
      <c r="AG116" s="353"/>
      <c r="AH116" s="382"/>
      <c r="AI116" s="353"/>
      <c r="AJ116" s="382"/>
      <c r="AK116" s="353"/>
      <c r="AL116" s="382"/>
      <c r="AM116" s="353"/>
    </row>
    <row r="117" spans="1:39" s="352" customFormat="1">
      <c r="A117" s="367"/>
      <c r="B117" s="367"/>
      <c r="C117" s="369"/>
      <c r="D117" s="369"/>
      <c r="E117" s="369"/>
      <c r="F117" s="369"/>
      <c r="G117" s="369"/>
      <c r="H117" s="384"/>
      <c r="I117" s="369"/>
      <c r="J117" s="384"/>
      <c r="K117" s="369"/>
      <c r="L117" s="369"/>
      <c r="M117" s="369"/>
      <c r="N117" s="384"/>
      <c r="O117" s="369"/>
      <c r="P117" s="369"/>
      <c r="Q117" s="369"/>
      <c r="R117" s="384"/>
      <c r="S117" s="369"/>
      <c r="T117" s="384"/>
      <c r="U117" s="369"/>
      <c r="V117" s="384"/>
      <c r="W117" s="369"/>
      <c r="X117" s="384"/>
      <c r="Y117" s="369"/>
      <c r="Z117" s="384"/>
      <c r="AA117" s="369"/>
      <c r="AB117" s="369"/>
      <c r="AC117" s="369"/>
      <c r="AD117" s="384"/>
      <c r="AE117" s="369"/>
      <c r="AF117" s="384"/>
      <c r="AG117" s="369"/>
      <c r="AH117" s="384"/>
      <c r="AI117" s="369"/>
      <c r="AJ117" s="384"/>
      <c r="AK117" s="369"/>
      <c r="AL117" s="384"/>
      <c r="AM117" s="353"/>
    </row>
    <row r="118" spans="1:39" s="352" customFormat="1">
      <c r="A118" s="367"/>
      <c r="B118" s="367"/>
      <c r="C118" s="369"/>
      <c r="D118" s="369"/>
      <c r="E118" s="369"/>
      <c r="F118" s="369"/>
      <c r="G118" s="369"/>
      <c r="H118" s="384"/>
      <c r="I118" s="369"/>
      <c r="J118" s="384"/>
      <c r="K118" s="369"/>
      <c r="L118" s="369"/>
      <c r="M118" s="369"/>
      <c r="N118" s="384"/>
      <c r="O118" s="369"/>
      <c r="P118" s="369"/>
      <c r="Q118" s="369"/>
      <c r="R118" s="384"/>
      <c r="S118" s="369"/>
      <c r="T118" s="384"/>
      <c r="U118" s="369"/>
      <c r="V118" s="384"/>
      <c r="W118" s="369"/>
      <c r="X118" s="384"/>
      <c r="Y118" s="369"/>
      <c r="Z118" s="384"/>
      <c r="AA118" s="369"/>
      <c r="AB118" s="369"/>
      <c r="AC118" s="369"/>
      <c r="AD118" s="384"/>
      <c r="AE118" s="495" t="str">
        <f>'12. Разходи'!X109</f>
        <v>Главен счетоводител:</v>
      </c>
      <c r="AF118" s="495"/>
      <c r="AG118" s="496" t="s">
        <v>262</v>
      </c>
      <c r="AH118" s="497"/>
      <c r="AI118" s="496"/>
      <c r="AJ118" s="384"/>
      <c r="AK118" s="369"/>
      <c r="AL118" s="384"/>
      <c r="AM118" s="353"/>
    </row>
    <row r="119" spans="1:39" s="352" customFormat="1">
      <c r="C119" s="370"/>
      <c r="D119" s="370"/>
      <c r="E119" s="370"/>
      <c r="F119" s="370"/>
      <c r="G119" s="370"/>
      <c r="H119" s="382"/>
      <c r="I119" s="370"/>
      <c r="J119" s="382"/>
      <c r="K119" s="370"/>
      <c r="L119" s="370"/>
      <c r="M119" s="370"/>
      <c r="N119" s="382"/>
      <c r="O119" s="370"/>
      <c r="P119" s="370"/>
      <c r="Q119" s="370"/>
      <c r="R119" s="382"/>
      <c r="S119" s="370"/>
      <c r="T119" s="382"/>
      <c r="U119" s="370"/>
      <c r="V119" s="382"/>
      <c r="W119" s="370"/>
      <c r="X119" s="382"/>
      <c r="Y119" s="370"/>
      <c r="Z119" s="382"/>
      <c r="AA119" s="370"/>
      <c r="AB119" s="370"/>
      <c r="AC119" s="370"/>
      <c r="AD119" s="498"/>
      <c r="AE119" s="499"/>
      <c r="AF119" s="500"/>
      <c r="AG119" s="501"/>
      <c r="AH119" s="486" t="s">
        <v>5</v>
      </c>
      <c r="AI119" s="496"/>
      <c r="AJ119" s="498"/>
      <c r="AK119" s="369"/>
      <c r="AL119" s="382"/>
      <c r="AM119" s="353"/>
    </row>
    <row r="120" spans="1:39" s="352" customFormat="1">
      <c r="A120" s="188"/>
      <c r="B120" s="371" t="s">
        <v>247</v>
      </c>
      <c r="C120" s="353"/>
      <c r="D120" s="353"/>
      <c r="E120" s="353"/>
      <c r="F120" s="353"/>
      <c r="G120" s="353"/>
      <c r="H120" s="382"/>
      <c r="I120" s="353"/>
      <c r="J120" s="382"/>
      <c r="K120" s="353"/>
      <c r="L120" s="353"/>
      <c r="M120" s="353"/>
      <c r="N120" s="382"/>
      <c r="O120" s="353"/>
      <c r="P120" s="353"/>
      <c r="Q120" s="353"/>
      <c r="R120" s="382"/>
      <c r="S120" s="353"/>
      <c r="T120" s="382"/>
      <c r="U120" s="353"/>
      <c r="V120" s="382"/>
      <c r="W120" s="353"/>
      <c r="X120" s="382"/>
      <c r="Y120" s="353"/>
      <c r="Z120" s="382"/>
      <c r="AA120" s="353"/>
      <c r="AB120" s="353"/>
      <c r="AC120" s="353"/>
      <c r="AD120" s="353"/>
      <c r="AE120" s="499"/>
      <c r="AF120" s="500"/>
      <c r="AG120" s="501"/>
      <c r="AH120" s="486"/>
      <c r="AI120" s="496"/>
      <c r="AJ120" s="353"/>
      <c r="AK120" s="353"/>
      <c r="AL120" s="382"/>
      <c r="AM120" s="353"/>
    </row>
    <row r="121" spans="1:39" s="352" customFormat="1">
      <c r="A121" s="189" t="s">
        <v>263</v>
      </c>
      <c r="B121" s="3570" t="s">
        <v>248</v>
      </c>
      <c r="C121" s="3570"/>
      <c r="D121" s="3570"/>
      <c r="E121" s="3570"/>
      <c r="F121" s="3570"/>
      <c r="G121" s="3570"/>
      <c r="H121" s="3570"/>
      <c r="I121" s="3570"/>
      <c r="J121" s="3570"/>
      <c r="K121" s="3570"/>
      <c r="L121" s="3570"/>
      <c r="M121" s="3570"/>
      <c r="N121" s="3570"/>
      <c r="O121" s="3570"/>
      <c r="P121" s="3570"/>
      <c r="Q121" s="353"/>
      <c r="R121" s="382"/>
      <c r="S121" s="353"/>
      <c r="T121" s="382"/>
      <c r="U121" s="353"/>
      <c r="V121" s="382"/>
      <c r="W121" s="353"/>
      <c r="X121" s="382"/>
      <c r="Y121" s="353"/>
      <c r="Z121" s="382"/>
      <c r="AA121" s="353"/>
      <c r="AB121" s="353"/>
      <c r="AC121" s="353"/>
      <c r="AD121" s="353"/>
      <c r="AE121" s="499"/>
      <c r="AF121" s="500"/>
      <c r="AG121" s="501"/>
      <c r="AH121" s="486"/>
      <c r="AI121" s="496"/>
      <c r="AJ121" s="353"/>
      <c r="AK121" s="353"/>
      <c r="AL121" s="382"/>
      <c r="AM121" s="353"/>
    </row>
    <row r="122" spans="1:39" s="352" customFormat="1">
      <c r="A122" s="189"/>
      <c r="B122" s="3570" t="s">
        <v>1312</v>
      </c>
      <c r="C122" s="3570"/>
      <c r="D122" s="3570"/>
      <c r="E122" s="3570"/>
      <c r="F122" s="3570"/>
      <c r="G122" s="3570"/>
      <c r="H122" s="3570"/>
      <c r="I122" s="3570"/>
      <c r="J122" s="3570"/>
      <c r="K122" s="3570"/>
      <c r="L122" s="3570"/>
      <c r="M122" s="3570"/>
      <c r="N122" s="3570"/>
      <c r="O122" s="3570"/>
      <c r="P122" s="3570"/>
      <c r="Q122" s="353"/>
      <c r="R122" s="382"/>
      <c r="S122" s="353"/>
      <c r="T122" s="382"/>
      <c r="U122" s="353"/>
      <c r="V122" s="382"/>
      <c r="W122" s="353"/>
      <c r="X122" s="382"/>
      <c r="Y122" s="353"/>
      <c r="Z122" s="382"/>
      <c r="AA122" s="353"/>
      <c r="AB122" s="353"/>
      <c r="AC122" s="353"/>
      <c r="AD122" s="353"/>
      <c r="AE122" s="499"/>
      <c r="AF122" s="500"/>
      <c r="AG122" s="501"/>
      <c r="AH122" s="486"/>
      <c r="AI122" s="496"/>
      <c r="AJ122" s="353"/>
      <c r="AK122" s="353"/>
      <c r="AL122" s="382"/>
      <c r="AM122" s="353"/>
    </row>
    <row r="123" spans="1:39" s="352" customFormat="1" ht="35.25" customHeight="1">
      <c r="A123" s="189"/>
      <c r="B123" s="3569" t="s">
        <v>1313</v>
      </c>
      <c r="C123" s="3569"/>
      <c r="D123" s="3569"/>
      <c r="E123" s="3569"/>
      <c r="F123" s="3569"/>
      <c r="G123" s="3569"/>
      <c r="H123" s="3569"/>
      <c r="I123" s="3569"/>
      <c r="J123" s="3569"/>
      <c r="K123" s="3569"/>
      <c r="L123" s="3569"/>
      <c r="M123" s="3569"/>
      <c r="N123" s="3569"/>
      <c r="O123" s="3569"/>
      <c r="P123" s="3569"/>
      <c r="Q123" s="373"/>
      <c r="R123" s="386"/>
      <c r="S123" s="373"/>
      <c r="T123" s="386"/>
      <c r="U123" s="373"/>
      <c r="V123" s="386"/>
      <c r="W123" s="373"/>
      <c r="X123" s="386"/>
      <c r="Y123" s="373"/>
      <c r="Z123" s="386"/>
      <c r="AA123" s="373"/>
      <c r="AB123" s="373"/>
      <c r="AC123" s="373"/>
      <c r="AD123" s="353"/>
      <c r="AE123" s="499"/>
      <c r="AF123" s="500"/>
      <c r="AG123" s="501"/>
      <c r="AH123" s="486"/>
      <c r="AI123" s="496"/>
      <c r="AJ123" s="353"/>
      <c r="AK123" s="365"/>
      <c r="AL123" s="383"/>
      <c r="AM123" s="353"/>
    </row>
    <row r="124" spans="1:39" s="352" customFormat="1">
      <c r="A124" s="189"/>
      <c r="B124" s="3571" t="s">
        <v>1314</v>
      </c>
      <c r="C124" s="3571"/>
      <c r="D124" s="3571"/>
      <c r="E124" s="3571"/>
      <c r="F124" s="3571"/>
      <c r="G124" s="3571"/>
      <c r="H124" s="3571"/>
      <c r="I124" s="3571"/>
      <c r="J124" s="3571"/>
      <c r="K124" s="3571"/>
      <c r="L124" s="3571"/>
      <c r="M124" s="3571"/>
      <c r="N124" s="3571"/>
      <c r="O124" s="3571"/>
      <c r="P124" s="3571"/>
      <c r="Q124" s="373"/>
      <c r="R124" s="386"/>
      <c r="S124" s="373"/>
      <c r="T124" s="386"/>
      <c r="U124" s="373"/>
      <c r="V124" s="386"/>
      <c r="W124" s="373"/>
      <c r="X124" s="386"/>
      <c r="Y124" s="373"/>
      <c r="Z124" s="386"/>
      <c r="AA124" s="373"/>
      <c r="AB124" s="373"/>
      <c r="AC124" s="373"/>
      <c r="AD124" s="353"/>
      <c r="AE124" s="353"/>
      <c r="AF124" s="495" t="str">
        <f>'12. Разходи'!X114</f>
        <v>Управител:</v>
      </c>
      <c r="AG124" s="496" t="s">
        <v>262</v>
      </c>
      <c r="AH124" s="496"/>
      <c r="AI124" s="496"/>
      <c r="AJ124" s="353"/>
      <c r="AK124" s="365"/>
      <c r="AL124" s="383"/>
      <c r="AM124" s="353"/>
    </row>
    <row r="125" spans="1:39" s="352" customFormat="1">
      <c r="A125" s="189"/>
      <c r="B125" s="3571" t="s">
        <v>1315</v>
      </c>
      <c r="C125" s="3571"/>
      <c r="D125" s="3571"/>
      <c r="E125" s="3571"/>
      <c r="F125" s="3571"/>
      <c r="G125" s="3571"/>
      <c r="H125" s="3571"/>
      <c r="I125" s="3571"/>
      <c r="J125" s="3571"/>
      <c r="K125" s="3571"/>
      <c r="L125" s="3571"/>
      <c r="M125" s="3571"/>
      <c r="N125" s="3571"/>
      <c r="O125" s="3571"/>
      <c r="P125" s="3571"/>
      <c r="Q125" s="365"/>
      <c r="R125" s="383"/>
      <c r="S125" s="365"/>
      <c r="T125" s="383"/>
      <c r="U125" s="365"/>
      <c r="V125" s="383"/>
      <c r="W125" s="365"/>
      <c r="X125" s="383"/>
      <c r="Y125" s="365"/>
      <c r="Z125" s="383"/>
      <c r="AA125" s="365"/>
      <c r="AB125" s="365"/>
      <c r="AC125" s="365"/>
      <c r="AD125" s="353"/>
      <c r="AE125" s="499"/>
      <c r="AF125" s="502"/>
      <c r="AG125" s="501"/>
      <c r="AH125" s="486" t="s">
        <v>6</v>
      </c>
      <c r="AI125" s="501"/>
      <c r="AJ125" s="353"/>
      <c r="AK125" s="365"/>
      <c r="AL125" s="383"/>
      <c r="AM125" s="353"/>
    </row>
    <row r="126" spans="1:39" s="352" customFormat="1" ht="33" customHeight="1">
      <c r="A126" s="364"/>
      <c r="B126" s="3569" t="s">
        <v>1316</v>
      </c>
      <c r="C126" s="3569"/>
      <c r="D126" s="3569"/>
      <c r="E126" s="3569"/>
      <c r="F126" s="3569"/>
      <c r="G126" s="3569"/>
      <c r="H126" s="3569"/>
      <c r="I126" s="3569"/>
      <c r="J126" s="3569"/>
      <c r="K126" s="3569"/>
      <c r="L126" s="3569"/>
      <c r="M126" s="3569"/>
      <c r="N126" s="3569"/>
      <c r="O126" s="3569"/>
      <c r="P126" s="3569"/>
      <c r="Q126" s="365"/>
      <c r="R126" s="383"/>
      <c r="S126" s="365"/>
      <c r="T126" s="383"/>
      <c r="U126" s="365"/>
      <c r="V126" s="383"/>
      <c r="W126" s="365"/>
      <c r="X126" s="383"/>
      <c r="Y126" s="365"/>
      <c r="Z126" s="383"/>
      <c r="AA126" s="365"/>
      <c r="AB126" s="365"/>
      <c r="AC126" s="365"/>
      <c r="AD126" s="353"/>
      <c r="AE126" s="353"/>
      <c r="AF126" s="353"/>
      <c r="AG126" s="353"/>
      <c r="AH126" s="353"/>
      <c r="AI126" s="353"/>
      <c r="AJ126" s="353"/>
      <c r="AK126" s="365"/>
      <c r="AL126" s="383"/>
      <c r="AM126" s="353"/>
    </row>
    <row r="127" spans="1:39" s="352" customFormat="1">
      <c r="A127" s="364"/>
      <c r="B127" s="3091" t="s">
        <v>1558</v>
      </c>
      <c r="C127" s="365"/>
      <c r="D127" s="365"/>
      <c r="E127" s="365"/>
      <c r="F127" s="365"/>
      <c r="G127" s="365"/>
      <c r="H127" s="383"/>
      <c r="I127" s="365"/>
      <c r="J127" s="383"/>
      <c r="K127" s="365"/>
      <c r="L127" s="365"/>
      <c r="M127" s="365"/>
      <c r="N127" s="383"/>
      <c r="O127" s="365"/>
      <c r="P127" s="365"/>
      <c r="Q127" s="365"/>
      <c r="R127" s="383"/>
      <c r="S127" s="365"/>
      <c r="T127" s="383"/>
      <c r="U127" s="365"/>
      <c r="V127" s="383"/>
      <c r="W127" s="365"/>
      <c r="X127" s="383"/>
      <c r="Y127" s="365"/>
      <c r="Z127" s="383"/>
      <c r="AA127" s="365"/>
      <c r="AB127" s="365"/>
      <c r="AC127" s="365"/>
      <c r="AD127" s="353"/>
      <c r="AE127" s="353"/>
      <c r="AF127" s="353"/>
      <c r="AG127" s="353"/>
      <c r="AH127" s="353"/>
      <c r="AI127" s="353"/>
      <c r="AJ127" s="353"/>
      <c r="AK127" s="365"/>
      <c r="AL127" s="383"/>
      <c r="AM127" s="353"/>
    </row>
    <row r="128" spans="1:39" s="352" customFormat="1">
      <c r="A128" s="364"/>
      <c r="B128" s="364"/>
      <c r="C128" s="365"/>
      <c r="D128" s="365"/>
      <c r="E128" s="365"/>
      <c r="F128" s="365"/>
      <c r="G128" s="365"/>
      <c r="H128" s="383"/>
      <c r="I128" s="365"/>
      <c r="J128" s="383"/>
      <c r="K128" s="365"/>
      <c r="L128" s="365"/>
      <c r="M128" s="365"/>
      <c r="N128" s="383"/>
      <c r="O128" s="365"/>
      <c r="P128" s="365"/>
      <c r="Q128" s="365"/>
      <c r="R128" s="383"/>
      <c r="S128" s="365"/>
      <c r="T128" s="383"/>
      <c r="U128" s="365"/>
      <c r="V128" s="383"/>
      <c r="W128" s="365"/>
      <c r="X128" s="383"/>
      <c r="Y128" s="365"/>
      <c r="Z128" s="383"/>
      <c r="AA128" s="365"/>
      <c r="AB128" s="365"/>
      <c r="AC128" s="365"/>
      <c r="AD128" s="353"/>
      <c r="AE128" s="353"/>
      <c r="AF128" s="365"/>
      <c r="AG128" s="365"/>
      <c r="AH128" s="365"/>
      <c r="AI128" s="365"/>
      <c r="AJ128" s="365"/>
      <c r="AK128" s="365"/>
      <c r="AL128" s="383"/>
      <c r="AM128" s="353"/>
    </row>
    <row r="129" spans="1:39" s="352" customFormat="1">
      <c r="A129" s="364"/>
      <c r="B129" s="364"/>
      <c r="C129" s="365"/>
      <c r="D129" s="365"/>
      <c r="E129" s="365"/>
      <c r="F129" s="365"/>
      <c r="G129" s="365"/>
      <c r="H129" s="383"/>
      <c r="I129" s="365"/>
      <c r="J129" s="383"/>
      <c r="K129" s="365"/>
      <c r="L129" s="365"/>
      <c r="M129" s="365"/>
      <c r="N129" s="383"/>
      <c r="O129" s="365"/>
      <c r="P129" s="365"/>
      <c r="Q129" s="365"/>
      <c r="R129" s="383"/>
      <c r="S129" s="365"/>
      <c r="T129" s="383"/>
      <c r="U129" s="365"/>
      <c r="V129" s="383"/>
      <c r="W129" s="365"/>
      <c r="X129" s="383"/>
      <c r="Y129" s="365"/>
      <c r="Z129" s="383"/>
      <c r="AA129" s="365"/>
      <c r="AB129" s="365"/>
      <c r="AC129" s="365"/>
      <c r="AD129" s="383"/>
      <c r="AE129" s="365"/>
      <c r="AF129" s="383"/>
      <c r="AG129" s="365"/>
      <c r="AH129" s="383"/>
      <c r="AI129" s="365"/>
      <c r="AJ129" s="383"/>
      <c r="AK129" s="365"/>
      <c r="AL129" s="383"/>
      <c r="AM129" s="353"/>
    </row>
    <row r="130" spans="1:39" s="352" customFormat="1">
      <c r="A130" s="364"/>
      <c r="B130" s="364"/>
      <c r="C130" s="365"/>
      <c r="D130" s="365"/>
      <c r="E130" s="365"/>
      <c r="F130" s="365"/>
      <c r="G130" s="365"/>
      <c r="H130" s="383"/>
      <c r="I130" s="365"/>
      <c r="J130" s="383"/>
      <c r="K130" s="365"/>
      <c r="L130" s="365"/>
      <c r="M130" s="365"/>
      <c r="N130" s="383"/>
      <c r="O130" s="365"/>
      <c r="P130" s="365"/>
      <c r="Q130" s="365"/>
      <c r="R130" s="383"/>
      <c r="S130" s="365"/>
      <c r="T130" s="383"/>
      <c r="U130" s="365"/>
      <c r="V130" s="383"/>
      <c r="W130" s="365"/>
      <c r="X130" s="383"/>
      <c r="Y130" s="365"/>
      <c r="Z130" s="383"/>
      <c r="AA130" s="365"/>
      <c r="AB130" s="365"/>
      <c r="AC130" s="365"/>
      <c r="AD130" s="383"/>
      <c r="AE130" s="365"/>
      <c r="AF130" s="383"/>
      <c r="AG130" s="365"/>
      <c r="AH130" s="383"/>
      <c r="AI130" s="365"/>
      <c r="AJ130" s="383"/>
      <c r="AK130" s="365"/>
      <c r="AL130" s="383"/>
      <c r="AM130" s="353"/>
    </row>
    <row r="131" spans="1:39" s="352" customFormat="1">
      <c r="A131" s="364"/>
      <c r="B131" s="364"/>
      <c r="C131" s="365"/>
      <c r="D131" s="365"/>
      <c r="E131" s="365"/>
      <c r="F131" s="365"/>
      <c r="G131" s="365"/>
      <c r="H131" s="383"/>
      <c r="I131" s="365"/>
      <c r="J131" s="383"/>
      <c r="K131" s="365"/>
      <c r="L131" s="365"/>
      <c r="M131" s="365"/>
      <c r="N131" s="383"/>
      <c r="O131" s="365"/>
      <c r="P131" s="365"/>
      <c r="Q131" s="365"/>
      <c r="R131" s="383"/>
      <c r="S131" s="365"/>
      <c r="T131" s="383"/>
      <c r="U131" s="365"/>
      <c r="V131" s="383"/>
      <c r="W131" s="365"/>
      <c r="X131" s="383"/>
      <c r="Y131" s="365"/>
      <c r="Z131" s="383"/>
      <c r="AA131" s="365"/>
      <c r="AB131" s="365"/>
      <c r="AC131" s="365"/>
      <c r="AD131" s="383"/>
      <c r="AE131" s="365"/>
      <c r="AF131" s="383"/>
      <c r="AG131" s="365"/>
      <c r="AH131" s="383"/>
      <c r="AI131" s="365"/>
      <c r="AJ131" s="383"/>
      <c r="AK131" s="365"/>
      <c r="AL131" s="383"/>
      <c r="AM131" s="353"/>
    </row>
    <row r="132" spans="1:39" s="352" customFormat="1">
      <c r="A132" s="364"/>
      <c r="B132" s="364"/>
      <c r="C132" s="365"/>
      <c r="D132" s="365"/>
      <c r="E132" s="365"/>
      <c r="F132" s="365"/>
      <c r="G132" s="365"/>
      <c r="H132" s="383"/>
      <c r="I132" s="365"/>
      <c r="J132" s="383"/>
      <c r="K132" s="365"/>
      <c r="L132" s="365"/>
      <c r="M132" s="365"/>
      <c r="N132" s="383"/>
      <c r="O132" s="365"/>
      <c r="P132" s="365"/>
      <c r="Q132" s="365"/>
      <c r="R132" s="383"/>
      <c r="S132" s="365"/>
      <c r="T132" s="383"/>
      <c r="U132" s="365"/>
      <c r="V132" s="383"/>
      <c r="W132" s="365"/>
      <c r="X132" s="383"/>
      <c r="Y132" s="365"/>
      <c r="Z132" s="383"/>
      <c r="AA132" s="365"/>
      <c r="AB132" s="365"/>
      <c r="AC132" s="365"/>
      <c r="AD132" s="383"/>
      <c r="AE132" s="365"/>
      <c r="AF132" s="383"/>
      <c r="AG132" s="365"/>
      <c r="AH132" s="383"/>
      <c r="AI132" s="365"/>
      <c r="AJ132" s="383"/>
      <c r="AK132" s="365"/>
      <c r="AL132" s="383"/>
      <c r="AM132" s="353"/>
    </row>
    <row r="133" spans="1:39" s="352" customFormat="1">
      <c r="A133" s="364"/>
      <c r="B133" s="364"/>
      <c r="C133" s="365"/>
      <c r="D133" s="365"/>
      <c r="E133" s="365"/>
      <c r="F133" s="365"/>
      <c r="G133" s="365"/>
      <c r="H133" s="383"/>
      <c r="I133" s="365"/>
      <c r="J133" s="383"/>
      <c r="K133" s="365"/>
      <c r="L133" s="365"/>
      <c r="M133" s="365"/>
      <c r="N133" s="383"/>
      <c r="O133" s="365"/>
      <c r="P133" s="365"/>
      <c r="Q133" s="365"/>
      <c r="R133" s="383"/>
      <c r="S133" s="365"/>
      <c r="T133" s="383"/>
      <c r="U133" s="365"/>
      <c r="V133" s="383"/>
      <c r="W133" s="365"/>
      <c r="X133" s="383"/>
      <c r="Y133" s="365"/>
      <c r="Z133" s="383"/>
      <c r="AA133" s="365"/>
      <c r="AB133" s="365"/>
      <c r="AC133" s="365"/>
      <c r="AD133" s="383"/>
      <c r="AE133" s="365"/>
      <c r="AF133" s="383"/>
      <c r="AG133" s="365"/>
      <c r="AH133" s="383"/>
      <c r="AI133" s="365"/>
      <c r="AJ133" s="383"/>
      <c r="AK133" s="365"/>
      <c r="AL133" s="383"/>
      <c r="AM133" s="353"/>
    </row>
    <row r="134" spans="1:39" s="352" customFormat="1">
      <c r="A134" s="364"/>
      <c r="B134" s="364"/>
      <c r="C134" s="365"/>
      <c r="D134" s="365"/>
      <c r="E134" s="365"/>
      <c r="F134" s="365"/>
      <c r="G134" s="365"/>
      <c r="H134" s="383"/>
      <c r="I134" s="365"/>
      <c r="J134" s="383"/>
      <c r="K134" s="365"/>
      <c r="L134" s="365"/>
      <c r="M134" s="365"/>
      <c r="N134" s="383"/>
      <c r="O134" s="365"/>
      <c r="P134" s="365"/>
      <c r="Q134" s="365"/>
      <c r="R134" s="383"/>
      <c r="S134" s="365"/>
      <c r="T134" s="383"/>
      <c r="U134" s="365"/>
      <c r="V134" s="383"/>
      <c r="W134" s="365"/>
      <c r="X134" s="383"/>
      <c r="Y134" s="365"/>
      <c r="Z134" s="383"/>
      <c r="AA134" s="365"/>
      <c r="AB134" s="365"/>
      <c r="AC134" s="365"/>
      <c r="AD134" s="383"/>
      <c r="AE134" s="365"/>
      <c r="AF134" s="383"/>
      <c r="AG134" s="365"/>
      <c r="AH134" s="383"/>
      <c r="AI134" s="365"/>
      <c r="AJ134" s="383"/>
      <c r="AK134" s="365"/>
      <c r="AL134" s="383"/>
      <c r="AM134" s="353"/>
    </row>
    <row r="135" spans="1:39" s="352" customFormat="1">
      <c r="A135" s="364"/>
      <c r="B135" s="364"/>
      <c r="C135" s="365"/>
      <c r="D135" s="365"/>
      <c r="E135" s="365"/>
      <c r="F135" s="365"/>
      <c r="G135" s="365"/>
      <c r="H135" s="383"/>
      <c r="I135" s="365"/>
      <c r="J135" s="383"/>
      <c r="K135" s="365"/>
      <c r="L135" s="365"/>
      <c r="M135" s="365"/>
      <c r="N135" s="383"/>
      <c r="O135" s="365"/>
      <c r="P135" s="365"/>
      <c r="Q135" s="365"/>
      <c r="R135" s="383"/>
      <c r="S135" s="365"/>
      <c r="T135" s="383"/>
      <c r="U135" s="365"/>
      <c r="V135" s="383"/>
      <c r="W135" s="365"/>
      <c r="X135" s="383"/>
      <c r="Y135" s="365"/>
      <c r="Z135" s="383"/>
      <c r="AA135" s="365"/>
      <c r="AB135" s="365"/>
      <c r="AC135" s="365"/>
      <c r="AD135" s="383"/>
      <c r="AE135" s="365"/>
      <c r="AF135" s="383"/>
      <c r="AG135" s="365"/>
      <c r="AH135" s="383"/>
      <c r="AI135" s="365"/>
      <c r="AJ135" s="383"/>
      <c r="AK135" s="365"/>
      <c r="AL135" s="383"/>
      <c r="AM135" s="353"/>
    </row>
    <row r="136" spans="1:39" s="352" customFormat="1">
      <c r="A136" s="364"/>
      <c r="B136" s="364"/>
      <c r="C136" s="365"/>
      <c r="D136" s="365"/>
      <c r="E136" s="365"/>
      <c r="F136" s="365"/>
      <c r="G136" s="365"/>
      <c r="H136" s="383"/>
      <c r="I136" s="365"/>
      <c r="J136" s="383"/>
      <c r="K136" s="365"/>
      <c r="L136" s="365"/>
      <c r="M136" s="365"/>
      <c r="N136" s="383"/>
      <c r="O136" s="365"/>
      <c r="P136" s="365"/>
      <c r="Q136" s="365"/>
      <c r="R136" s="383"/>
      <c r="S136" s="365"/>
      <c r="T136" s="383"/>
      <c r="U136" s="365"/>
      <c r="V136" s="383"/>
      <c r="W136" s="365"/>
      <c r="X136" s="383"/>
      <c r="Y136" s="365"/>
      <c r="Z136" s="383"/>
      <c r="AA136" s="365"/>
      <c r="AB136" s="365"/>
      <c r="AC136" s="365"/>
      <c r="AD136" s="383"/>
      <c r="AE136" s="365"/>
      <c r="AF136" s="383"/>
      <c r="AG136" s="365"/>
      <c r="AH136" s="383"/>
      <c r="AI136" s="365"/>
      <c r="AJ136" s="383"/>
      <c r="AK136" s="365"/>
      <c r="AL136" s="383"/>
      <c r="AM136" s="353"/>
    </row>
    <row r="137" spans="1:39" s="352" customFormat="1">
      <c r="A137" s="364"/>
      <c r="B137" s="364"/>
      <c r="C137" s="365"/>
      <c r="D137" s="365"/>
      <c r="E137" s="365"/>
      <c r="F137" s="365"/>
      <c r="G137" s="365"/>
      <c r="H137" s="383"/>
      <c r="I137" s="365"/>
      <c r="J137" s="383"/>
      <c r="K137" s="365"/>
      <c r="L137" s="365"/>
      <c r="M137" s="365"/>
      <c r="N137" s="383"/>
      <c r="O137" s="365"/>
      <c r="P137" s="365"/>
      <c r="Q137" s="365"/>
      <c r="R137" s="383"/>
      <c r="S137" s="365"/>
      <c r="T137" s="383"/>
      <c r="U137" s="365"/>
      <c r="V137" s="383"/>
      <c r="W137" s="365"/>
      <c r="X137" s="383"/>
      <c r="Y137" s="365"/>
      <c r="Z137" s="383"/>
      <c r="AA137" s="365"/>
      <c r="AB137" s="365"/>
      <c r="AC137" s="365"/>
      <c r="AD137" s="383"/>
      <c r="AE137" s="365"/>
      <c r="AF137" s="383"/>
      <c r="AG137" s="365"/>
      <c r="AH137" s="383"/>
      <c r="AI137" s="365"/>
      <c r="AJ137" s="383"/>
      <c r="AK137" s="365"/>
      <c r="AL137" s="383"/>
      <c r="AM137" s="353"/>
    </row>
    <row r="138" spans="1:39" s="352" customFormat="1">
      <c r="A138" s="364"/>
      <c r="B138" s="364"/>
      <c r="C138" s="365"/>
      <c r="D138" s="365"/>
      <c r="E138" s="365"/>
      <c r="F138" s="365"/>
      <c r="G138" s="365"/>
      <c r="H138" s="383"/>
      <c r="I138" s="365"/>
      <c r="J138" s="383"/>
      <c r="K138" s="365"/>
      <c r="L138" s="365"/>
      <c r="M138" s="365"/>
      <c r="N138" s="383"/>
      <c r="O138" s="365"/>
      <c r="P138" s="365"/>
      <c r="Q138" s="365"/>
      <c r="R138" s="383"/>
      <c r="S138" s="365"/>
      <c r="T138" s="383"/>
      <c r="U138" s="365"/>
      <c r="V138" s="383"/>
      <c r="W138" s="365"/>
      <c r="X138" s="383"/>
      <c r="Y138" s="365"/>
      <c r="Z138" s="383"/>
      <c r="AA138" s="365"/>
      <c r="AB138" s="365"/>
      <c r="AC138" s="365"/>
      <c r="AD138" s="383"/>
      <c r="AE138" s="365"/>
      <c r="AF138" s="383"/>
      <c r="AG138" s="365"/>
      <c r="AH138" s="383"/>
      <c r="AI138" s="365"/>
      <c r="AJ138" s="383"/>
      <c r="AK138" s="365"/>
      <c r="AL138" s="383"/>
      <c r="AM138" s="353"/>
    </row>
    <row r="139" spans="1:39" s="352" customFormat="1">
      <c r="A139" s="364"/>
      <c r="B139" s="364"/>
      <c r="C139" s="365"/>
      <c r="D139" s="365"/>
      <c r="E139" s="365"/>
      <c r="F139" s="365"/>
      <c r="G139" s="365"/>
      <c r="H139" s="383"/>
      <c r="I139" s="365"/>
      <c r="J139" s="383"/>
      <c r="K139" s="365"/>
      <c r="L139" s="365"/>
      <c r="M139" s="365"/>
      <c r="N139" s="383"/>
      <c r="O139" s="365"/>
      <c r="P139" s="365"/>
      <c r="Q139" s="365"/>
      <c r="R139" s="383"/>
      <c r="S139" s="365"/>
      <c r="T139" s="383"/>
      <c r="U139" s="365"/>
      <c r="V139" s="383"/>
      <c r="W139" s="365"/>
      <c r="X139" s="383"/>
      <c r="Y139" s="365"/>
      <c r="Z139" s="383"/>
      <c r="AA139" s="365"/>
      <c r="AB139" s="365"/>
      <c r="AC139" s="365"/>
      <c r="AD139" s="383"/>
      <c r="AE139" s="365"/>
      <c r="AF139" s="383"/>
      <c r="AG139" s="365"/>
      <c r="AH139" s="383"/>
      <c r="AI139" s="365"/>
      <c r="AJ139" s="383"/>
      <c r="AK139" s="365"/>
      <c r="AL139" s="383"/>
      <c r="AM139" s="353"/>
    </row>
    <row r="140" spans="1:39" s="352" customFormat="1">
      <c r="A140" s="364"/>
      <c r="B140" s="364"/>
      <c r="C140" s="365"/>
      <c r="D140" s="365"/>
      <c r="E140" s="365"/>
      <c r="F140" s="365"/>
      <c r="G140" s="365"/>
      <c r="H140" s="383"/>
      <c r="I140" s="365"/>
      <c r="J140" s="383"/>
      <c r="K140" s="365"/>
      <c r="L140" s="365"/>
      <c r="M140" s="365"/>
      <c r="N140" s="383"/>
      <c r="O140" s="365"/>
      <c r="P140" s="365"/>
      <c r="Q140" s="365"/>
      <c r="R140" s="383"/>
      <c r="S140" s="365"/>
      <c r="T140" s="383"/>
      <c r="U140" s="365"/>
      <c r="V140" s="383"/>
      <c r="W140" s="365"/>
      <c r="X140" s="383"/>
      <c r="Y140" s="365"/>
      <c r="Z140" s="383"/>
      <c r="AA140" s="365"/>
      <c r="AB140" s="365"/>
      <c r="AC140" s="365"/>
      <c r="AD140" s="383"/>
      <c r="AE140" s="365"/>
      <c r="AF140" s="383"/>
      <c r="AG140" s="365"/>
      <c r="AH140" s="383"/>
      <c r="AI140" s="365"/>
      <c r="AJ140" s="383"/>
      <c r="AK140" s="365"/>
      <c r="AL140" s="383"/>
      <c r="AM140" s="353"/>
    </row>
    <row r="141" spans="1:39" s="352" customFormat="1">
      <c r="A141" s="364"/>
      <c r="B141" s="364"/>
      <c r="C141" s="365"/>
      <c r="D141" s="365"/>
      <c r="E141" s="365"/>
      <c r="F141" s="365"/>
      <c r="G141" s="365"/>
      <c r="H141" s="383"/>
      <c r="I141" s="365"/>
      <c r="J141" s="383"/>
      <c r="K141" s="365"/>
      <c r="L141" s="365"/>
      <c r="M141" s="365"/>
      <c r="N141" s="383"/>
      <c r="O141" s="365"/>
      <c r="P141" s="365"/>
      <c r="Q141" s="365"/>
      <c r="R141" s="383"/>
      <c r="S141" s="365"/>
      <c r="T141" s="383"/>
      <c r="U141" s="365"/>
      <c r="V141" s="383"/>
      <c r="W141" s="365"/>
      <c r="X141" s="383"/>
      <c r="Y141" s="365"/>
      <c r="Z141" s="383"/>
      <c r="AA141" s="365"/>
      <c r="AB141" s="365"/>
      <c r="AC141" s="365"/>
      <c r="AD141" s="383"/>
      <c r="AE141" s="365"/>
      <c r="AF141" s="383"/>
      <c r="AG141" s="365"/>
      <c r="AH141" s="383"/>
      <c r="AI141" s="365"/>
      <c r="AJ141" s="383"/>
      <c r="AK141" s="365"/>
      <c r="AL141" s="383"/>
      <c r="AM141" s="353"/>
    </row>
    <row r="142" spans="1:39" s="352" customFormat="1">
      <c r="A142" s="364"/>
      <c r="B142" s="364"/>
      <c r="C142" s="365"/>
      <c r="D142" s="365"/>
      <c r="E142" s="365"/>
      <c r="F142" s="365"/>
      <c r="G142" s="365"/>
      <c r="H142" s="383"/>
      <c r="I142" s="365"/>
      <c r="J142" s="383"/>
      <c r="K142" s="365"/>
      <c r="L142" s="365"/>
      <c r="M142" s="365"/>
      <c r="N142" s="383"/>
      <c r="O142" s="365"/>
      <c r="P142" s="365"/>
      <c r="Q142" s="365"/>
      <c r="R142" s="383"/>
      <c r="S142" s="365"/>
      <c r="T142" s="383"/>
      <c r="U142" s="365"/>
      <c r="V142" s="383"/>
      <c r="W142" s="365"/>
      <c r="X142" s="383"/>
      <c r="Y142" s="365"/>
      <c r="Z142" s="383"/>
      <c r="AA142" s="365"/>
      <c r="AB142" s="365"/>
      <c r="AC142" s="365"/>
      <c r="AD142" s="383"/>
      <c r="AE142" s="365"/>
      <c r="AF142" s="383"/>
      <c r="AG142" s="365"/>
      <c r="AH142" s="383"/>
      <c r="AI142" s="365"/>
      <c r="AJ142" s="383"/>
      <c r="AK142" s="365"/>
      <c r="AL142" s="383"/>
      <c r="AM142" s="353"/>
    </row>
    <row r="143" spans="1:39" s="352" customFormat="1">
      <c r="A143" s="364"/>
      <c r="B143" s="364"/>
      <c r="C143" s="365"/>
      <c r="D143" s="365"/>
      <c r="E143" s="365"/>
      <c r="F143" s="365"/>
      <c r="G143" s="365"/>
      <c r="H143" s="383"/>
      <c r="I143" s="365"/>
      <c r="J143" s="383"/>
      <c r="K143" s="365"/>
      <c r="L143" s="365"/>
      <c r="M143" s="365"/>
      <c r="N143" s="383"/>
      <c r="O143" s="365"/>
      <c r="P143" s="365"/>
      <c r="Q143" s="365"/>
      <c r="R143" s="383"/>
      <c r="S143" s="365"/>
      <c r="T143" s="383"/>
      <c r="U143" s="365"/>
      <c r="V143" s="383"/>
      <c r="W143" s="365"/>
      <c r="X143" s="383"/>
      <c r="Y143" s="365"/>
      <c r="Z143" s="383"/>
      <c r="AA143" s="365"/>
      <c r="AB143" s="365"/>
      <c r="AC143" s="365"/>
      <c r="AD143" s="383"/>
      <c r="AE143" s="365"/>
      <c r="AF143" s="383"/>
      <c r="AG143" s="365"/>
      <c r="AH143" s="383"/>
      <c r="AI143" s="365"/>
      <c r="AJ143" s="383"/>
      <c r="AK143" s="365"/>
      <c r="AL143" s="383"/>
      <c r="AM143" s="353"/>
    </row>
    <row r="144" spans="1:39" s="352" customFormat="1">
      <c r="A144" s="364"/>
      <c r="B144" s="364"/>
      <c r="C144" s="365"/>
      <c r="D144" s="365"/>
      <c r="E144" s="365"/>
      <c r="F144" s="365"/>
      <c r="G144" s="365"/>
      <c r="H144" s="383"/>
      <c r="I144" s="365"/>
      <c r="J144" s="383"/>
      <c r="K144" s="365"/>
      <c r="L144" s="365"/>
      <c r="M144" s="365"/>
      <c r="N144" s="383"/>
      <c r="O144" s="365"/>
      <c r="P144" s="365"/>
      <c r="Q144" s="365"/>
      <c r="R144" s="383"/>
      <c r="S144" s="365"/>
      <c r="T144" s="383"/>
      <c r="U144" s="365"/>
      <c r="V144" s="383"/>
      <c r="W144" s="365"/>
      <c r="X144" s="383"/>
      <c r="Y144" s="365"/>
      <c r="Z144" s="383"/>
      <c r="AA144" s="365"/>
      <c r="AB144" s="365"/>
      <c r="AC144" s="365"/>
      <c r="AD144" s="383"/>
      <c r="AE144" s="365"/>
      <c r="AF144" s="383"/>
      <c r="AG144" s="365"/>
      <c r="AH144" s="383"/>
      <c r="AI144" s="365"/>
      <c r="AJ144" s="383"/>
      <c r="AK144" s="365"/>
      <c r="AL144" s="383"/>
      <c r="AM144" s="353"/>
    </row>
    <row r="145" spans="1:39" s="352" customFormat="1">
      <c r="A145" s="364"/>
      <c r="B145" s="364"/>
      <c r="C145" s="365"/>
      <c r="D145" s="365"/>
      <c r="E145" s="365"/>
      <c r="F145" s="365"/>
      <c r="G145" s="365"/>
      <c r="H145" s="383"/>
      <c r="I145" s="365"/>
      <c r="J145" s="383"/>
      <c r="K145" s="365"/>
      <c r="L145" s="365"/>
      <c r="M145" s="365"/>
      <c r="N145" s="383"/>
      <c r="O145" s="365"/>
      <c r="P145" s="365"/>
      <c r="Q145" s="365"/>
      <c r="R145" s="383"/>
      <c r="S145" s="365"/>
      <c r="T145" s="383"/>
      <c r="U145" s="365"/>
      <c r="V145" s="383"/>
      <c r="W145" s="365"/>
      <c r="X145" s="383"/>
      <c r="Y145" s="365"/>
      <c r="Z145" s="383"/>
      <c r="AA145" s="365"/>
      <c r="AB145" s="365"/>
      <c r="AC145" s="365"/>
      <c r="AD145" s="383"/>
      <c r="AE145" s="365"/>
      <c r="AF145" s="383"/>
      <c r="AG145" s="365"/>
      <c r="AH145" s="383"/>
      <c r="AI145" s="365"/>
      <c r="AJ145" s="383"/>
      <c r="AK145" s="365"/>
      <c r="AL145" s="383"/>
      <c r="AM145" s="353"/>
    </row>
    <row r="146" spans="1:39" s="352" customFormat="1">
      <c r="A146" s="364"/>
      <c r="B146" s="364"/>
      <c r="C146" s="365"/>
      <c r="D146" s="365"/>
      <c r="E146" s="365"/>
      <c r="F146" s="365"/>
      <c r="G146" s="365"/>
      <c r="H146" s="383"/>
      <c r="I146" s="365"/>
      <c r="J146" s="383"/>
      <c r="K146" s="365"/>
      <c r="L146" s="365"/>
      <c r="M146" s="365"/>
      <c r="N146" s="383"/>
      <c r="O146" s="365"/>
      <c r="P146" s="365"/>
      <c r="Q146" s="365"/>
      <c r="R146" s="383"/>
      <c r="S146" s="365"/>
      <c r="T146" s="383"/>
      <c r="U146" s="365"/>
      <c r="V146" s="383"/>
      <c r="W146" s="365"/>
      <c r="X146" s="383"/>
      <c r="Y146" s="365"/>
      <c r="Z146" s="383"/>
      <c r="AA146" s="365"/>
      <c r="AB146" s="365"/>
      <c r="AC146" s="365"/>
      <c r="AD146" s="383"/>
      <c r="AE146" s="365"/>
      <c r="AF146" s="383"/>
      <c r="AG146" s="365"/>
      <c r="AH146" s="383"/>
      <c r="AI146" s="365"/>
      <c r="AJ146" s="383"/>
      <c r="AK146" s="365"/>
      <c r="AL146" s="383"/>
      <c r="AM146" s="353"/>
    </row>
    <row r="147" spans="1:39" s="352" customFormat="1">
      <c r="A147" s="364"/>
      <c r="B147" s="364"/>
      <c r="C147" s="365"/>
      <c r="D147" s="365"/>
      <c r="E147" s="365"/>
      <c r="F147" s="365"/>
      <c r="G147" s="365"/>
      <c r="H147" s="383"/>
      <c r="I147" s="365"/>
      <c r="J147" s="383"/>
      <c r="K147" s="365"/>
      <c r="L147" s="365"/>
      <c r="M147" s="365"/>
      <c r="N147" s="383"/>
      <c r="O147" s="365"/>
      <c r="P147" s="365"/>
      <c r="Q147" s="365"/>
      <c r="R147" s="383"/>
      <c r="S147" s="365"/>
      <c r="T147" s="383"/>
      <c r="U147" s="365"/>
      <c r="V147" s="383"/>
      <c r="W147" s="365"/>
      <c r="X147" s="383"/>
      <c r="Y147" s="365"/>
      <c r="Z147" s="383"/>
      <c r="AA147" s="365"/>
      <c r="AB147" s="365"/>
      <c r="AC147" s="365"/>
      <c r="AD147" s="383"/>
      <c r="AE147" s="365"/>
      <c r="AF147" s="383"/>
      <c r="AG147" s="365"/>
      <c r="AH147" s="383"/>
      <c r="AI147" s="365"/>
      <c r="AJ147" s="383"/>
      <c r="AK147" s="365"/>
      <c r="AL147" s="383"/>
      <c r="AM147" s="353"/>
    </row>
    <row r="148" spans="1:39" s="352" customFormat="1">
      <c r="A148" s="364"/>
      <c r="B148" s="364"/>
      <c r="C148" s="365"/>
      <c r="D148" s="365"/>
      <c r="E148" s="365"/>
      <c r="F148" s="365"/>
      <c r="G148" s="365"/>
      <c r="H148" s="383"/>
      <c r="I148" s="365"/>
      <c r="J148" s="383"/>
      <c r="K148" s="365"/>
      <c r="L148" s="365"/>
      <c r="M148" s="365"/>
      <c r="N148" s="383"/>
      <c r="O148" s="365"/>
      <c r="P148" s="365"/>
      <c r="Q148" s="365"/>
      <c r="R148" s="383"/>
      <c r="S148" s="365"/>
      <c r="T148" s="383"/>
      <c r="U148" s="365"/>
      <c r="V148" s="383"/>
      <c r="W148" s="365"/>
      <c r="X148" s="383"/>
      <c r="Y148" s="365"/>
      <c r="Z148" s="383"/>
      <c r="AA148" s="365"/>
      <c r="AB148" s="365"/>
      <c r="AC148" s="365"/>
      <c r="AD148" s="383"/>
      <c r="AE148" s="365"/>
      <c r="AF148" s="383"/>
      <c r="AG148" s="365"/>
      <c r="AH148" s="383"/>
      <c r="AI148" s="365"/>
      <c r="AJ148" s="383"/>
      <c r="AK148" s="365"/>
      <c r="AL148" s="383"/>
      <c r="AM148" s="353"/>
    </row>
    <row r="149" spans="1:39" s="352" customFormat="1">
      <c r="A149" s="364"/>
      <c r="B149" s="364"/>
      <c r="C149" s="365"/>
      <c r="D149" s="365"/>
      <c r="E149" s="365"/>
      <c r="F149" s="365"/>
      <c r="G149" s="365"/>
      <c r="H149" s="383"/>
      <c r="I149" s="365"/>
      <c r="J149" s="383"/>
      <c r="K149" s="365"/>
      <c r="L149" s="365"/>
      <c r="M149" s="365"/>
      <c r="N149" s="383"/>
      <c r="O149" s="365"/>
      <c r="P149" s="365"/>
      <c r="Q149" s="365"/>
      <c r="R149" s="383"/>
      <c r="S149" s="365"/>
      <c r="T149" s="383"/>
      <c r="U149" s="365"/>
      <c r="V149" s="383"/>
      <c r="W149" s="365"/>
      <c r="X149" s="383"/>
      <c r="Y149" s="365"/>
      <c r="Z149" s="383"/>
      <c r="AA149" s="365"/>
      <c r="AB149" s="365"/>
      <c r="AC149" s="365"/>
      <c r="AD149" s="383"/>
      <c r="AE149" s="365"/>
      <c r="AF149" s="383"/>
      <c r="AG149" s="365"/>
      <c r="AH149" s="383"/>
      <c r="AI149" s="365"/>
      <c r="AJ149" s="383"/>
      <c r="AK149" s="365"/>
      <c r="AL149" s="383"/>
      <c r="AM149" s="353"/>
    </row>
    <row r="150" spans="1:39" s="352" customFormat="1">
      <c r="A150" s="364"/>
      <c r="B150" s="364"/>
      <c r="C150" s="365"/>
      <c r="D150" s="365"/>
      <c r="E150" s="365"/>
      <c r="F150" s="365"/>
      <c r="G150" s="365"/>
      <c r="H150" s="383"/>
      <c r="I150" s="365"/>
      <c r="J150" s="383"/>
      <c r="K150" s="365"/>
      <c r="L150" s="365"/>
      <c r="M150" s="365"/>
      <c r="N150" s="383"/>
      <c r="O150" s="365"/>
      <c r="P150" s="365"/>
      <c r="Q150" s="365"/>
      <c r="R150" s="383"/>
      <c r="S150" s="365"/>
      <c r="T150" s="383"/>
      <c r="U150" s="365"/>
      <c r="V150" s="383"/>
      <c r="W150" s="365"/>
      <c r="X150" s="383"/>
      <c r="Y150" s="365"/>
      <c r="Z150" s="383"/>
      <c r="AA150" s="365"/>
      <c r="AB150" s="365"/>
      <c r="AC150" s="365"/>
      <c r="AD150" s="383"/>
      <c r="AE150" s="365"/>
      <c r="AF150" s="383"/>
      <c r="AG150" s="365"/>
      <c r="AH150" s="383"/>
      <c r="AI150" s="365"/>
      <c r="AJ150" s="383"/>
      <c r="AK150" s="365"/>
      <c r="AL150" s="383"/>
      <c r="AM150" s="353"/>
    </row>
    <row r="151" spans="1:39" s="352" customFormat="1">
      <c r="A151" s="364"/>
      <c r="B151" s="364"/>
      <c r="C151" s="365"/>
      <c r="D151" s="365"/>
      <c r="E151" s="365"/>
      <c r="F151" s="365"/>
      <c r="G151" s="365"/>
      <c r="H151" s="383"/>
      <c r="I151" s="365"/>
      <c r="J151" s="383"/>
      <c r="K151" s="365"/>
      <c r="L151" s="365"/>
      <c r="M151" s="365"/>
      <c r="N151" s="383"/>
      <c r="O151" s="365"/>
      <c r="P151" s="365"/>
      <c r="Q151" s="365"/>
      <c r="R151" s="383"/>
      <c r="S151" s="365"/>
      <c r="T151" s="383"/>
      <c r="U151" s="365"/>
      <c r="V151" s="383"/>
      <c r="W151" s="365"/>
      <c r="X151" s="383"/>
      <c r="Y151" s="365"/>
      <c r="Z151" s="383"/>
      <c r="AA151" s="365"/>
      <c r="AB151" s="365"/>
      <c r="AC151" s="365"/>
      <c r="AD151" s="383"/>
      <c r="AE151" s="365"/>
      <c r="AF151" s="383"/>
      <c r="AG151" s="365"/>
      <c r="AH151" s="383"/>
      <c r="AI151" s="365"/>
      <c r="AJ151" s="383"/>
      <c r="AK151" s="365"/>
      <c r="AL151" s="383"/>
      <c r="AM151" s="353"/>
    </row>
    <row r="152" spans="1:39" s="352" customFormat="1">
      <c r="A152" s="364"/>
      <c r="B152" s="364"/>
      <c r="C152" s="365"/>
      <c r="D152" s="365"/>
      <c r="E152" s="365"/>
      <c r="F152" s="365"/>
      <c r="G152" s="365"/>
      <c r="H152" s="383"/>
      <c r="I152" s="365"/>
      <c r="J152" s="383"/>
      <c r="K152" s="365"/>
      <c r="L152" s="365"/>
      <c r="M152" s="365"/>
      <c r="N152" s="383"/>
      <c r="O152" s="365"/>
      <c r="P152" s="365"/>
      <c r="Q152" s="365"/>
      <c r="R152" s="383"/>
      <c r="S152" s="365"/>
      <c r="T152" s="383"/>
      <c r="U152" s="365"/>
      <c r="V152" s="383"/>
      <c r="W152" s="365"/>
      <c r="X152" s="383"/>
      <c r="Y152" s="365"/>
      <c r="Z152" s="383"/>
      <c r="AA152" s="365"/>
      <c r="AB152" s="365"/>
      <c r="AC152" s="365"/>
      <c r="AD152" s="383"/>
      <c r="AE152" s="365"/>
      <c r="AF152" s="383"/>
      <c r="AG152" s="365"/>
      <c r="AH152" s="383"/>
      <c r="AI152" s="365"/>
      <c r="AJ152" s="383"/>
      <c r="AK152" s="365"/>
      <c r="AL152" s="383"/>
      <c r="AM152" s="353"/>
    </row>
    <row r="153" spans="1:39" s="352" customFormat="1">
      <c r="A153" s="364"/>
      <c r="B153" s="364"/>
      <c r="C153" s="365"/>
      <c r="D153" s="365"/>
      <c r="E153" s="365"/>
      <c r="F153" s="365"/>
      <c r="G153" s="365"/>
      <c r="H153" s="383"/>
      <c r="I153" s="365"/>
      <c r="J153" s="383"/>
      <c r="K153" s="365"/>
      <c r="L153" s="365"/>
      <c r="M153" s="365"/>
      <c r="N153" s="383"/>
      <c r="O153" s="365"/>
      <c r="P153" s="365"/>
      <c r="Q153" s="365"/>
      <c r="R153" s="383"/>
      <c r="S153" s="365"/>
      <c r="T153" s="383"/>
      <c r="U153" s="365"/>
      <c r="V153" s="383"/>
      <c r="W153" s="365"/>
      <c r="X153" s="383"/>
      <c r="Y153" s="365"/>
      <c r="Z153" s="383"/>
      <c r="AA153" s="365"/>
      <c r="AB153" s="365"/>
      <c r="AC153" s="365"/>
      <c r="AD153" s="383"/>
      <c r="AE153" s="365"/>
      <c r="AF153" s="383"/>
      <c r="AG153" s="365"/>
      <c r="AH153" s="383"/>
      <c r="AI153" s="365"/>
      <c r="AJ153" s="383"/>
      <c r="AK153" s="365"/>
      <c r="AL153" s="383"/>
      <c r="AM153" s="353"/>
    </row>
    <row r="154" spans="1:39" s="352" customFormat="1">
      <c r="A154" s="364"/>
      <c r="B154" s="364"/>
      <c r="C154" s="365"/>
      <c r="D154" s="365"/>
      <c r="E154" s="365"/>
      <c r="F154" s="365"/>
      <c r="G154" s="365"/>
      <c r="H154" s="383"/>
      <c r="I154" s="365"/>
      <c r="J154" s="383"/>
      <c r="K154" s="365"/>
      <c r="L154" s="365"/>
      <c r="M154" s="365"/>
      <c r="N154" s="383"/>
      <c r="O154" s="365"/>
      <c r="P154" s="365"/>
      <c r="Q154" s="365"/>
      <c r="R154" s="383"/>
      <c r="S154" s="365"/>
      <c r="T154" s="383"/>
      <c r="U154" s="365"/>
      <c r="V154" s="383"/>
      <c r="W154" s="365"/>
      <c r="X154" s="383"/>
      <c r="Y154" s="365"/>
      <c r="Z154" s="383"/>
      <c r="AA154" s="365"/>
      <c r="AB154" s="365"/>
      <c r="AC154" s="365"/>
      <c r="AD154" s="383"/>
      <c r="AE154" s="365"/>
      <c r="AF154" s="383"/>
      <c r="AG154" s="365"/>
      <c r="AH154" s="383"/>
      <c r="AI154" s="365"/>
      <c r="AJ154" s="383"/>
      <c r="AK154" s="365"/>
      <c r="AL154" s="383"/>
      <c r="AM154" s="353"/>
    </row>
    <row r="155" spans="1:39" s="352" customFormat="1">
      <c r="A155" s="364"/>
      <c r="B155" s="364"/>
      <c r="C155" s="365"/>
      <c r="D155" s="365"/>
      <c r="E155" s="365"/>
      <c r="F155" s="365"/>
      <c r="G155" s="365"/>
      <c r="H155" s="383"/>
      <c r="I155" s="365"/>
      <c r="J155" s="383"/>
      <c r="K155" s="365"/>
      <c r="L155" s="365"/>
      <c r="M155" s="365"/>
      <c r="N155" s="383"/>
      <c r="O155" s="365"/>
      <c r="P155" s="365"/>
      <c r="Q155" s="365"/>
      <c r="R155" s="383"/>
      <c r="S155" s="365"/>
      <c r="T155" s="383"/>
      <c r="U155" s="365"/>
      <c r="V155" s="383"/>
      <c r="W155" s="365"/>
      <c r="X155" s="383"/>
      <c r="Y155" s="365"/>
      <c r="Z155" s="383"/>
      <c r="AA155" s="365"/>
      <c r="AB155" s="365"/>
      <c r="AC155" s="365"/>
      <c r="AD155" s="383"/>
      <c r="AE155" s="365"/>
      <c r="AF155" s="383"/>
      <c r="AG155" s="365"/>
      <c r="AH155" s="383"/>
      <c r="AI155" s="365"/>
      <c r="AJ155" s="383"/>
      <c r="AK155" s="365"/>
      <c r="AL155" s="383"/>
      <c r="AM155" s="353"/>
    </row>
    <row r="156" spans="1:39" s="352" customFormat="1">
      <c r="A156" s="364"/>
      <c r="B156" s="364"/>
      <c r="C156" s="365"/>
      <c r="D156" s="365"/>
      <c r="E156" s="365"/>
      <c r="F156" s="365"/>
      <c r="G156" s="365"/>
      <c r="H156" s="383"/>
      <c r="I156" s="365"/>
      <c r="J156" s="383"/>
      <c r="K156" s="365"/>
      <c r="L156" s="365"/>
      <c r="M156" s="365"/>
      <c r="N156" s="383"/>
      <c r="O156" s="365"/>
      <c r="P156" s="365"/>
      <c r="Q156" s="365"/>
      <c r="R156" s="383"/>
      <c r="S156" s="365"/>
      <c r="T156" s="383"/>
      <c r="U156" s="365"/>
      <c r="V156" s="383"/>
      <c r="W156" s="365"/>
      <c r="X156" s="383"/>
      <c r="Y156" s="365"/>
      <c r="Z156" s="383"/>
      <c r="AA156" s="365"/>
      <c r="AB156" s="365"/>
      <c r="AC156" s="365"/>
      <c r="AD156" s="383"/>
      <c r="AE156" s="365"/>
      <c r="AF156" s="383"/>
      <c r="AG156" s="365"/>
      <c r="AH156" s="383"/>
      <c r="AI156" s="365"/>
      <c r="AJ156" s="383"/>
      <c r="AK156" s="365"/>
      <c r="AL156" s="383"/>
      <c r="AM156" s="353"/>
    </row>
    <row r="157" spans="1:39" s="352" customFormat="1">
      <c r="A157" s="364"/>
      <c r="B157" s="364"/>
      <c r="C157" s="365"/>
      <c r="D157" s="365"/>
      <c r="E157" s="365"/>
      <c r="F157" s="365"/>
      <c r="G157" s="365"/>
      <c r="H157" s="383"/>
      <c r="I157" s="365"/>
      <c r="J157" s="383"/>
      <c r="K157" s="365"/>
      <c r="L157" s="365"/>
      <c r="M157" s="365"/>
      <c r="N157" s="383"/>
      <c r="O157" s="365"/>
      <c r="P157" s="365"/>
      <c r="Q157" s="365"/>
      <c r="R157" s="383"/>
      <c r="S157" s="365"/>
      <c r="T157" s="383"/>
      <c r="U157" s="365"/>
      <c r="V157" s="383"/>
      <c r="W157" s="365"/>
      <c r="X157" s="383"/>
      <c r="Y157" s="365"/>
      <c r="Z157" s="383"/>
      <c r="AA157" s="365"/>
      <c r="AB157" s="365"/>
      <c r="AC157" s="365"/>
      <c r="AD157" s="383"/>
      <c r="AE157" s="365"/>
      <c r="AF157" s="383"/>
      <c r="AG157" s="365"/>
      <c r="AH157" s="383"/>
      <c r="AI157" s="365"/>
      <c r="AJ157" s="383"/>
      <c r="AK157" s="365"/>
      <c r="AL157" s="383"/>
      <c r="AM157" s="353"/>
    </row>
    <row r="158" spans="1:39" s="352" customFormat="1">
      <c r="A158" s="364"/>
      <c r="B158" s="364"/>
      <c r="C158" s="365"/>
      <c r="D158" s="365"/>
      <c r="E158" s="365"/>
      <c r="F158" s="365"/>
      <c r="G158" s="365"/>
      <c r="H158" s="383"/>
      <c r="I158" s="365"/>
      <c r="J158" s="383"/>
      <c r="K158" s="365"/>
      <c r="L158" s="365"/>
      <c r="M158" s="365"/>
      <c r="N158" s="383"/>
      <c r="O158" s="365"/>
      <c r="P158" s="365"/>
      <c r="Q158" s="365"/>
      <c r="R158" s="383"/>
      <c r="S158" s="365"/>
      <c r="T158" s="383"/>
      <c r="U158" s="365"/>
      <c r="V158" s="383"/>
      <c r="W158" s="365"/>
      <c r="X158" s="383"/>
      <c r="Y158" s="365"/>
      <c r="Z158" s="383"/>
      <c r="AA158" s="365"/>
      <c r="AB158" s="365"/>
      <c r="AC158" s="365"/>
      <c r="AD158" s="383"/>
      <c r="AE158" s="365"/>
      <c r="AF158" s="383"/>
      <c r="AG158" s="365"/>
      <c r="AH158" s="383"/>
      <c r="AI158" s="365"/>
      <c r="AJ158" s="383"/>
      <c r="AK158" s="365"/>
      <c r="AL158" s="383"/>
      <c r="AM158" s="353"/>
    </row>
    <row r="159" spans="1:39" s="352" customFormat="1">
      <c r="A159" s="364"/>
      <c r="B159" s="364"/>
      <c r="C159" s="365"/>
      <c r="D159" s="365"/>
      <c r="E159" s="365"/>
      <c r="F159" s="365"/>
      <c r="G159" s="365"/>
      <c r="H159" s="383"/>
      <c r="I159" s="365"/>
      <c r="J159" s="383"/>
      <c r="K159" s="365"/>
      <c r="L159" s="365"/>
      <c r="M159" s="365"/>
      <c r="N159" s="383"/>
      <c r="O159" s="365"/>
      <c r="P159" s="365"/>
      <c r="Q159" s="365"/>
      <c r="R159" s="383"/>
      <c r="S159" s="365"/>
      <c r="T159" s="383"/>
      <c r="U159" s="365"/>
      <c r="V159" s="383"/>
      <c r="W159" s="365"/>
      <c r="X159" s="383"/>
      <c r="Y159" s="365"/>
      <c r="Z159" s="383"/>
      <c r="AA159" s="365"/>
      <c r="AB159" s="365"/>
      <c r="AC159" s="365"/>
      <c r="AD159" s="383"/>
      <c r="AE159" s="365"/>
      <c r="AF159" s="383"/>
      <c r="AG159" s="365"/>
      <c r="AH159" s="383"/>
      <c r="AI159" s="365"/>
      <c r="AJ159" s="383"/>
      <c r="AK159" s="365"/>
      <c r="AL159" s="383"/>
      <c r="AM159" s="353"/>
    </row>
    <row r="160" spans="1:39" s="352" customFormat="1">
      <c r="A160" s="364"/>
      <c r="B160" s="364"/>
      <c r="C160" s="365"/>
      <c r="D160" s="365"/>
      <c r="E160" s="365"/>
      <c r="F160" s="365"/>
      <c r="G160" s="365"/>
      <c r="H160" s="383"/>
      <c r="I160" s="365"/>
      <c r="J160" s="383"/>
      <c r="K160" s="365"/>
      <c r="L160" s="365"/>
      <c r="M160" s="365"/>
      <c r="N160" s="383"/>
      <c r="O160" s="365"/>
      <c r="P160" s="365"/>
      <c r="Q160" s="365"/>
      <c r="R160" s="383"/>
      <c r="S160" s="365"/>
      <c r="T160" s="383"/>
      <c r="U160" s="365"/>
      <c r="V160" s="383"/>
      <c r="W160" s="365"/>
      <c r="X160" s="383"/>
      <c r="Y160" s="365"/>
      <c r="Z160" s="383"/>
      <c r="AA160" s="365"/>
      <c r="AB160" s="365"/>
      <c r="AC160" s="365"/>
      <c r="AD160" s="383"/>
      <c r="AE160" s="365"/>
      <c r="AF160" s="383"/>
      <c r="AG160" s="365"/>
      <c r="AH160" s="383"/>
      <c r="AI160" s="365"/>
      <c r="AJ160" s="383"/>
      <c r="AK160" s="365"/>
      <c r="AL160" s="383"/>
      <c r="AM160" s="353"/>
    </row>
    <row r="161" spans="1:39" s="352" customFormat="1">
      <c r="A161" s="364"/>
      <c r="B161" s="364"/>
      <c r="C161" s="365"/>
      <c r="D161" s="365"/>
      <c r="E161" s="365"/>
      <c r="F161" s="365"/>
      <c r="G161" s="365"/>
      <c r="H161" s="383"/>
      <c r="I161" s="365"/>
      <c r="J161" s="383"/>
      <c r="K161" s="365"/>
      <c r="L161" s="365"/>
      <c r="M161" s="365"/>
      <c r="N161" s="383"/>
      <c r="O161" s="365"/>
      <c r="P161" s="365"/>
      <c r="Q161" s="365"/>
      <c r="R161" s="383"/>
      <c r="S161" s="365"/>
      <c r="T161" s="383"/>
      <c r="U161" s="365"/>
      <c r="V161" s="383"/>
      <c r="W161" s="365"/>
      <c r="X161" s="383"/>
      <c r="Y161" s="365"/>
      <c r="Z161" s="383"/>
      <c r="AA161" s="365"/>
      <c r="AB161" s="365"/>
      <c r="AC161" s="365"/>
      <c r="AD161" s="383"/>
      <c r="AE161" s="365"/>
      <c r="AF161" s="383"/>
      <c r="AG161" s="365"/>
      <c r="AH161" s="383"/>
      <c r="AI161" s="365"/>
      <c r="AJ161" s="383"/>
      <c r="AK161" s="365"/>
      <c r="AL161" s="383"/>
      <c r="AM161" s="353"/>
    </row>
    <row r="162" spans="1:39" s="352" customFormat="1">
      <c r="A162" s="364"/>
      <c r="B162" s="364"/>
      <c r="C162" s="365"/>
      <c r="D162" s="365"/>
      <c r="E162" s="365"/>
      <c r="F162" s="365"/>
      <c r="G162" s="365"/>
      <c r="H162" s="383"/>
      <c r="I162" s="365"/>
      <c r="J162" s="383"/>
      <c r="K162" s="365"/>
      <c r="L162" s="365"/>
      <c r="M162" s="365"/>
      <c r="N162" s="383"/>
      <c r="O162" s="365"/>
      <c r="P162" s="365"/>
      <c r="Q162" s="365"/>
      <c r="R162" s="383"/>
      <c r="S162" s="365"/>
      <c r="T162" s="383"/>
      <c r="U162" s="365"/>
      <c r="V162" s="383"/>
      <c r="W162" s="365"/>
      <c r="X162" s="383"/>
      <c r="Y162" s="365"/>
      <c r="Z162" s="383"/>
      <c r="AA162" s="365"/>
      <c r="AB162" s="365"/>
      <c r="AC162" s="365"/>
      <c r="AD162" s="383"/>
      <c r="AE162" s="365"/>
      <c r="AF162" s="383"/>
      <c r="AG162" s="365"/>
      <c r="AH162" s="383"/>
      <c r="AI162" s="365"/>
      <c r="AJ162" s="383"/>
      <c r="AK162" s="365"/>
      <c r="AL162" s="383"/>
      <c r="AM162" s="353"/>
    </row>
    <row r="163" spans="1:39" s="352" customFormat="1">
      <c r="A163" s="364"/>
      <c r="B163" s="364"/>
      <c r="C163" s="365"/>
      <c r="D163" s="365"/>
      <c r="E163" s="365"/>
      <c r="F163" s="365"/>
      <c r="G163" s="365"/>
      <c r="H163" s="383"/>
      <c r="I163" s="365"/>
      <c r="J163" s="383"/>
      <c r="K163" s="365"/>
      <c r="L163" s="365"/>
      <c r="M163" s="365"/>
      <c r="N163" s="383"/>
      <c r="O163" s="365"/>
      <c r="P163" s="365"/>
      <c r="Q163" s="365"/>
      <c r="R163" s="383"/>
      <c r="S163" s="365"/>
      <c r="T163" s="383"/>
      <c r="U163" s="365"/>
      <c r="V163" s="383"/>
      <c r="W163" s="365"/>
      <c r="X163" s="383"/>
      <c r="Y163" s="365"/>
      <c r="Z163" s="383"/>
      <c r="AA163" s="365"/>
      <c r="AB163" s="365"/>
      <c r="AC163" s="365"/>
      <c r="AD163" s="383"/>
      <c r="AE163" s="365"/>
      <c r="AF163" s="383"/>
      <c r="AG163" s="365"/>
      <c r="AH163" s="383"/>
      <c r="AI163" s="365"/>
      <c r="AJ163" s="383"/>
      <c r="AK163" s="365"/>
      <c r="AL163" s="383"/>
      <c r="AM163" s="353"/>
    </row>
    <row r="164" spans="1:39" s="352" customFormat="1">
      <c r="A164" s="364"/>
      <c r="B164" s="364"/>
      <c r="C164" s="365"/>
      <c r="D164" s="365"/>
      <c r="E164" s="365"/>
      <c r="F164" s="365"/>
      <c r="G164" s="365"/>
      <c r="H164" s="383"/>
      <c r="I164" s="365"/>
      <c r="J164" s="383"/>
      <c r="K164" s="365"/>
      <c r="L164" s="365"/>
      <c r="M164" s="365"/>
      <c r="N164" s="383"/>
      <c r="O164" s="365"/>
      <c r="P164" s="365"/>
      <c r="Q164" s="365"/>
      <c r="R164" s="383"/>
      <c r="S164" s="365"/>
      <c r="T164" s="383"/>
      <c r="U164" s="365"/>
      <c r="V164" s="383"/>
      <c r="W164" s="365"/>
      <c r="X164" s="383"/>
      <c r="Y164" s="365"/>
      <c r="Z164" s="383"/>
      <c r="AA164" s="365"/>
      <c r="AB164" s="365"/>
      <c r="AC164" s="365"/>
      <c r="AD164" s="383"/>
      <c r="AE164" s="365"/>
      <c r="AF164" s="383"/>
      <c r="AG164" s="365"/>
      <c r="AH164" s="383"/>
      <c r="AI164" s="365"/>
      <c r="AJ164" s="383"/>
      <c r="AK164" s="365"/>
      <c r="AL164" s="383"/>
      <c r="AM164" s="353"/>
    </row>
    <row r="165" spans="1:39" s="352" customFormat="1">
      <c r="A165" s="364"/>
      <c r="B165" s="364"/>
      <c r="C165" s="365"/>
      <c r="D165" s="365"/>
      <c r="E165" s="365"/>
      <c r="F165" s="365"/>
      <c r="G165" s="365"/>
      <c r="H165" s="383"/>
      <c r="I165" s="365"/>
      <c r="J165" s="383"/>
      <c r="K165" s="365"/>
      <c r="L165" s="365"/>
      <c r="M165" s="365"/>
      <c r="N165" s="383"/>
      <c r="O165" s="365"/>
      <c r="P165" s="365"/>
      <c r="Q165" s="365"/>
      <c r="R165" s="383"/>
      <c r="S165" s="365"/>
      <c r="T165" s="383"/>
      <c r="U165" s="365"/>
      <c r="V165" s="383"/>
      <c r="W165" s="365"/>
      <c r="X165" s="383"/>
      <c r="Y165" s="365"/>
      <c r="Z165" s="383"/>
      <c r="AA165" s="365"/>
      <c r="AB165" s="365"/>
      <c r="AC165" s="365"/>
      <c r="AD165" s="383"/>
      <c r="AE165" s="365"/>
      <c r="AF165" s="383"/>
      <c r="AG165" s="365"/>
      <c r="AH165" s="383"/>
      <c r="AI165" s="365"/>
      <c r="AJ165" s="383"/>
      <c r="AK165" s="365"/>
      <c r="AL165" s="383"/>
      <c r="AM165" s="353"/>
    </row>
    <row r="166" spans="1:39" s="352" customFormat="1">
      <c r="A166" s="364"/>
      <c r="B166" s="364"/>
      <c r="C166" s="365"/>
      <c r="D166" s="365"/>
      <c r="E166" s="365"/>
      <c r="F166" s="365"/>
      <c r="G166" s="365"/>
      <c r="H166" s="383"/>
      <c r="I166" s="365"/>
      <c r="J166" s="383"/>
      <c r="K166" s="365"/>
      <c r="L166" s="365"/>
      <c r="M166" s="365"/>
      <c r="N166" s="383"/>
      <c r="O166" s="365"/>
      <c r="P166" s="365"/>
      <c r="Q166" s="365"/>
      <c r="R166" s="383"/>
      <c r="S166" s="365"/>
      <c r="T166" s="383"/>
      <c r="U166" s="365"/>
      <c r="V166" s="383"/>
      <c r="W166" s="365"/>
      <c r="X166" s="383"/>
      <c r="Y166" s="365"/>
      <c r="Z166" s="383"/>
      <c r="AA166" s="365"/>
      <c r="AB166" s="365"/>
      <c r="AC166" s="365"/>
      <c r="AD166" s="383"/>
      <c r="AE166" s="365"/>
      <c r="AF166" s="383"/>
      <c r="AG166" s="365"/>
      <c r="AH166" s="383"/>
      <c r="AI166" s="365"/>
      <c r="AJ166" s="383"/>
      <c r="AK166" s="365"/>
      <c r="AL166" s="383"/>
      <c r="AM166" s="353"/>
    </row>
    <row r="167" spans="1:39" s="352" customFormat="1">
      <c r="A167" s="364"/>
      <c r="B167" s="364"/>
      <c r="C167" s="365"/>
      <c r="D167" s="365"/>
      <c r="E167" s="365"/>
      <c r="F167" s="365"/>
      <c r="G167" s="365"/>
      <c r="H167" s="383"/>
      <c r="I167" s="365"/>
      <c r="J167" s="383"/>
      <c r="K167" s="365"/>
      <c r="L167" s="365"/>
      <c r="M167" s="365"/>
      <c r="N167" s="383"/>
      <c r="O167" s="365"/>
      <c r="P167" s="365"/>
      <c r="Q167" s="365"/>
      <c r="R167" s="383"/>
      <c r="S167" s="365"/>
      <c r="T167" s="383"/>
      <c r="U167" s="365"/>
      <c r="V167" s="383"/>
      <c r="W167" s="365"/>
      <c r="X167" s="383"/>
      <c r="Y167" s="365"/>
      <c r="Z167" s="383"/>
      <c r="AA167" s="365"/>
      <c r="AB167" s="365"/>
      <c r="AC167" s="365"/>
      <c r="AD167" s="383"/>
      <c r="AE167" s="365"/>
      <c r="AF167" s="383"/>
      <c r="AG167" s="365"/>
      <c r="AH167" s="383"/>
      <c r="AI167" s="365"/>
      <c r="AJ167" s="383"/>
      <c r="AK167" s="365"/>
      <c r="AL167" s="383"/>
      <c r="AM167" s="353"/>
    </row>
    <row r="168" spans="1:39" s="352" customFormat="1">
      <c r="A168" s="364"/>
      <c r="B168" s="364"/>
      <c r="C168" s="365"/>
      <c r="D168" s="365"/>
      <c r="E168" s="365"/>
      <c r="F168" s="365"/>
      <c r="G168" s="365"/>
      <c r="H168" s="383"/>
      <c r="I168" s="365"/>
      <c r="J168" s="383"/>
      <c r="K168" s="365"/>
      <c r="L168" s="365"/>
      <c r="M168" s="365"/>
      <c r="N168" s="383"/>
      <c r="O168" s="365"/>
      <c r="P168" s="365"/>
      <c r="Q168" s="365"/>
      <c r="R168" s="383"/>
      <c r="S168" s="365"/>
      <c r="T168" s="383"/>
      <c r="U168" s="365"/>
      <c r="V168" s="383"/>
      <c r="W168" s="365"/>
      <c r="X168" s="383"/>
      <c r="Y168" s="365"/>
      <c r="Z168" s="383"/>
      <c r="AA168" s="365"/>
      <c r="AB168" s="365"/>
      <c r="AC168" s="365"/>
      <c r="AD168" s="383"/>
      <c r="AE168" s="365"/>
      <c r="AF168" s="383"/>
      <c r="AG168" s="365"/>
      <c r="AH168" s="383"/>
      <c r="AI168" s="365"/>
      <c r="AJ168" s="383"/>
      <c r="AK168" s="365"/>
      <c r="AL168" s="383"/>
      <c r="AM168" s="353"/>
    </row>
    <row r="169" spans="1:39" s="352" customFormat="1">
      <c r="A169" s="364"/>
      <c r="B169" s="364"/>
      <c r="C169" s="365"/>
      <c r="D169" s="365"/>
      <c r="E169" s="365"/>
      <c r="F169" s="365"/>
      <c r="G169" s="365"/>
      <c r="H169" s="383"/>
      <c r="I169" s="365"/>
      <c r="J169" s="383"/>
      <c r="K169" s="365"/>
      <c r="L169" s="365"/>
      <c r="M169" s="365"/>
      <c r="N169" s="383"/>
      <c r="O169" s="365"/>
      <c r="P169" s="365"/>
      <c r="Q169" s="365"/>
      <c r="R169" s="383"/>
      <c r="S169" s="365"/>
      <c r="T169" s="383"/>
      <c r="U169" s="365"/>
      <c r="V169" s="383"/>
      <c r="W169" s="365"/>
      <c r="X169" s="383"/>
      <c r="Y169" s="365"/>
      <c r="Z169" s="383"/>
      <c r="AA169" s="365"/>
      <c r="AB169" s="365"/>
      <c r="AC169" s="365"/>
      <c r="AD169" s="383"/>
      <c r="AE169" s="365"/>
      <c r="AF169" s="383"/>
      <c r="AG169" s="365"/>
      <c r="AH169" s="383"/>
      <c r="AI169" s="365"/>
      <c r="AJ169" s="383"/>
      <c r="AK169" s="365"/>
      <c r="AL169" s="383"/>
      <c r="AM169" s="353"/>
    </row>
    <row r="170" spans="1:39" s="352" customFormat="1">
      <c r="A170" s="364"/>
      <c r="B170" s="364"/>
      <c r="C170" s="365"/>
      <c r="D170" s="365"/>
      <c r="E170" s="365"/>
      <c r="F170" s="365"/>
      <c r="G170" s="365"/>
      <c r="H170" s="383"/>
      <c r="I170" s="365"/>
      <c r="J170" s="383"/>
      <c r="K170" s="365"/>
      <c r="L170" s="365"/>
      <c r="M170" s="365"/>
      <c r="N170" s="383"/>
      <c r="O170" s="365"/>
      <c r="P170" s="365"/>
      <c r="Q170" s="365"/>
      <c r="R170" s="383"/>
      <c r="S170" s="365"/>
      <c r="T170" s="383"/>
      <c r="U170" s="365"/>
      <c r="V170" s="383"/>
      <c r="W170" s="365"/>
      <c r="X170" s="383"/>
      <c r="Y170" s="365"/>
      <c r="Z170" s="383"/>
      <c r="AA170" s="365"/>
      <c r="AB170" s="365"/>
      <c r="AC170" s="365"/>
      <c r="AD170" s="383"/>
      <c r="AE170" s="365"/>
      <c r="AF170" s="383"/>
      <c r="AG170" s="365"/>
      <c r="AH170" s="383"/>
      <c r="AI170" s="365"/>
      <c r="AJ170" s="383"/>
      <c r="AK170" s="365"/>
      <c r="AL170" s="383"/>
      <c r="AM170" s="353"/>
    </row>
    <row r="171" spans="1:39" s="352" customFormat="1">
      <c r="A171" s="364"/>
      <c r="B171" s="364"/>
      <c r="C171" s="365"/>
      <c r="D171" s="365"/>
      <c r="E171" s="365"/>
      <c r="F171" s="365"/>
      <c r="G171" s="365"/>
      <c r="H171" s="383"/>
      <c r="I171" s="365"/>
      <c r="J171" s="383"/>
      <c r="K171" s="365"/>
      <c r="L171" s="365"/>
      <c r="M171" s="365"/>
      <c r="N171" s="383"/>
      <c r="O171" s="365"/>
      <c r="P171" s="365"/>
      <c r="Q171" s="365"/>
      <c r="R171" s="383"/>
      <c r="S171" s="365"/>
      <c r="T171" s="383"/>
      <c r="U171" s="365"/>
      <c r="V171" s="383"/>
      <c r="W171" s="365"/>
      <c r="X171" s="383"/>
      <c r="Y171" s="365"/>
      <c r="Z171" s="383"/>
      <c r="AA171" s="365"/>
      <c r="AB171" s="365"/>
      <c r="AC171" s="365"/>
      <c r="AD171" s="383"/>
      <c r="AE171" s="365"/>
      <c r="AF171" s="383"/>
      <c r="AG171" s="365"/>
      <c r="AH171" s="383"/>
      <c r="AI171" s="365"/>
      <c r="AJ171" s="383"/>
      <c r="AK171" s="365"/>
      <c r="AL171" s="383"/>
      <c r="AM171" s="353"/>
    </row>
    <row r="172" spans="1:39" s="352" customFormat="1">
      <c r="A172" s="364"/>
      <c r="B172" s="364"/>
      <c r="C172" s="365"/>
      <c r="D172" s="365"/>
      <c r="E172" s="365"/>
      <c r="F172" s="365"/>
      <c r="G172" s="365"/>
      <c r="H172" s="383"/>
      <c r="I172" s="365"/>
      <c r="J172" s="383"/>
      <c r="K172" s="365"/>
      <c r="L172" s="365"/>
      <c r="M172" s="365"/>
      <c r="N172" s="383"/>
      <c r="O172" s="365"/>
      <c r="P172" s="365"/>
      <c r="Q172" s="365"/>
      <c r="R172" s="383"/>
      <c r="S172" s="365"/>
      <c r="T172" s="383"/>
      <c r="U172" s="365"/>
      <c r="V172" s="383"/>
      <c r="W172" s="365"/>
      <c r="X172" s="383"/>
      <c r="Y172" s="365"/>
      <c r="Z172" s="383"/>
      <c r="AA172" s="365"/>
      <c r="AB172" s="365"/>
      <c r="AC172" s="365"/>
      <c r="AD172" s="383"/>
      <c r="AE172" s="365"/>
      <c r="AF172" s="383"/>
      <c r="AG172" s="365"/>
      <c r="AH172" s="383"/>
      <c r="AI172" s="365"/>
      <c r="AJ172" s="383"/>
      <c r="AK172" s="365"/>
      <c r="AL172" s="383"/>
      <c r="AM172" s="353"/>
    </row>
    <row r="173" spans="1:39" s="352" customFormat="1">
      <c r="A173" s="364"/>
      <c r="B173" s="364"/>
      <c r="C173" s="365"/>
      <c r="D173" s="365"/>
      <c r="E173" s="365"/>
      <c r="F173" s="365"/>
      <c r="G173" s="365"/>
      <c r="H173" s="383"/>
      <c r="I173" s="365"/>
      <c r="J173" s="383"/>
      <c r="K173" s="365"/>
      <c r="L173" s="365"/>
      <c r="M173" s="365"/>
      <c r="N173" s="383"/>
      <c r="O173" s="365"/>
      <c r="P173" s="365"/>
      <c r="Q173" s="365"/>
      <c r="R173" s="383"/>
      <c r="S173" s="365"/>
      <c r="T173" s="383"/>
      <c r="U173" s="365"/>
      <c r="V173" s="383"/>
      <c r="W173" s="365"/>
      <c r="X173" s="383"/>
      <c r="Y173" s="365"/>
      <c r="Z173" s="383"/>
      <c r="AA173" s="365"/>
      <c r="AB173" s="365"/>
      <c r="AC173" s="365"/>
      <c r="AD173" s="383"/>
      <c r="AE173" s="365"/>
      <c r="AF173" s="383"/>
      <c r="AG173" s="365"/>
      <c r="AH173" s="383"/>
      <c r="AI173" s="365"/>
      <c r="AJ173" s="383"/>
      <c r="AK173" s="365"/>
      <c r="AL173" s="383"/>
      <c r="AM173" s="353"/>
    </row>
    <row r="174" spans="1:39" s="352" customFormat="1">
      <c r="A174" s="364"/>
      <c r="B174" s="364"/>
      <c r="C174" s="365"/>
      <c r="D174" s="365"/>
      <c r="E174" s="365"/>
      <c r="F174" s="365"/>
      <c r="G174" s="365"/>
      <c r="H174" s="383"/>
      <c r="I174" s="365"/>
      <c r="J174" s="383"/>
      <c r="K174" s="365"/>
      <c r="L174" s="365"/>
      <c r="M174" s="365"/>
      <c r="N174" s="383"/>
      <c r="O174" s="365"/>
      <c r="P174" s="365"/>
      <c r="Q174" s="365"/>
      <c r="R174" s="383"/>
      <c r="S174" s="365"/>
      <c r="T174" s="383"/>
      <c r="U174" s="365"/>
      <c r="V174" s="383"/>
      <c r="W174" s="365"/>
      <c r="X174" s="383"/>
      <c r="Y174" s="365"/>
      <c r="Z174" s="383"/>
      <c r="AA174" s="365"/>
      <c r="AB174" s="365"/>
      <c r="AC174" s="365"/>
      <c r="AD174" s="383"/>
      <c r="AE174" s="365"/>
      <c r="AF174" s="383"/>
      <c r="AG174" s="365"/>
      <c r="AH174" s="383"/>
      <c r="AI174" s="365"/>
      <c r="AJ174" s="383"/>
      <c r="AK174" s="365"/>
      <c r="AL174" s="383"/>
      <c r="AM174" s="353"/>
    </row>
    <row r="175" spans="1:39" s="352" customFormat="1">
      <c r="A175" s="364"/>
      <c r="B175" s="364"/>
      <c r="C175" s="365"/>
      <c r="D175" s="365"/>
      <c r="E175" s="365"/>
      <c r="F175" s="365"/>
      <c r="G175" s="365"/>
      <c r="H175" s="383"/>
      <c r="I175" s="365"/>
      <c r="J175" s="383"/>
      <c r="K175" s="365"/>
      <c r="L175" s="365"/>
      <c r="M175" s="365"/>
      <c r="N175" s="383"/>
      <c r="O175" s="365"/>
      <c r="P175" s="365"/>
      <c r="Q175" s="365"/>
      <c r="R175" s="383"/>
      <c r="S175" s="365"/>
      <c r="T175" s="383"/>
      <c r="U175" s="365"/>
      <c r="V175" s="383"/>
      <c r="W175" s="365"/>
      <c r="X175" s="383"/>
      <c r="Y175" s="365"/>
      <c r="Z175" s="383"/>
      <c r="AA175" s="365"/>
      <c r="AB175" s="365"/>
      <c r="AC175" s="365"/>
      <c r="AD175" s="383"/>
      <c r="AE175" s="365"/>
      <c r="AF175" s="383"/>
      <c r="AG175" s="365"/>
      <c r="AH175" s="383"/>
      <c r="AI175" s="365"/>
      <c r="AJ175" s="383"/>
      <c r="AK175" s="365"/>
      <c r="AL175" s="383"/>
      <c r="AM175" s="353"/>
    </row>
    <row r="176" spans="1:39" s="352" customFormat="1">
      <c r="A176" s="364"/>
      <c r="B176" s="364"/>
      <c r="C176" s="365"/>
      <c r="D176" s="365"/>
      <c r="E176" s="365"/>
      <c r="F176" s="365"/>
      <c r="G176" s="365"/>
      <c r="H176" s="383"/>
      <c r="I176" s="365"/>
      <c r="J176" s="383"/>
      <c r="K176" s="365"/>
      <c r="L176" s="365"/>
      <c r="M176" s="365"/>
      <c r="N176" s="383"/>
      <c r="O176" s="365"/>
      <c r="P176" s="365"/>
      <c r="Q176" s="365"/>
      <c r="R176" s="383"/>
      <c r="S176" s="365"/>
      <c r="T176" s="383"/>
      <c r="U176" s="365"/>
      <c r="V176" s="383"/>
      <c r="W176" s="365"/>
      <c r="X176" s="383"/>
      <c r="Y176" s="365"/>
      <c r="Z176" s="383"/>
      <c r="AA176" s="365"/>
      <c r="AB176" s="365"/>
      <c r="AC176" s="365"/>
      <c r="AD176" s="383"/>
      <c r="AE176" s="365"/>
      <c r="AF176" s="383"/>
      <c r="AG176" s="365"/>
      <c r="AH176" s="383"/>
      <c r="AI176" s="365"/>
      <c r="AJ176" s="383"/>
      <c r="AK176" s="365"/>
      <c r="AL176" s="383"/>
      <c r="AM176" s="353"/>
    </row>
    <row r="177" spans="1:39" s="352" customFormat="1">
      <c r="A177" s="364"/>
      <c r="B177" s="364"/>
      <c r="C177" s="365"/>
      <c r="D177" s="365"/>
      <c r="E177" s="365"/>
      <c r="F177" s="365"/>
      <c r="G177" s="365"/>
      <c r="H177" s="383"/>
      <c r="I177" s="365"/>
      <c r="J177" s="383"/>
      <c r="K177" s="365"/>
      <c r="L177" s="365"/>
      <c r="M177" s="365"/>
      <c r="N177" s="383"/>
      <c r="O177" s="365"/>
      <c r="P177" s="365"/>
      <c r="Q177" s="365"/>
      <c r="R177" s="383"/>
      <c r="S177" s="365"/>
      <c r="T177" s="383"/>
      <c r="U177" s="365"/>
      <c r="V177" s="383"/>
      <c r="W177" s="365"/>
      <c r="X177" s="383"/>
      <c r="Y177" s="365"/>
      <c r="Z177" s="383"/>
      <c r="AA177" s="365"/>
      <c r="AB177" s="365"/>
      <c r="AC177" s="365"/>
      <c r="AD177" s="383"/>
      <c r="AE177" s="365"/>
      <c r="AF177" s="383"/>
      <c r="AG177" s="365"/>
      <c r="AH177" s="383"/>
      <c r="AI177" s="365"/>
      <c r="AJ177" s="383"/>
      <c r="AK177" s="365"/>
      <c r="AL177" s="383"/>
      <c r="AM177" s="353"/>
    </row>
    <row r="178" spans="1:39" s="352" customFormat="1">
      <c r="A178" s="364"/>
      <c r="B178" s="364"/>
      <c r="C178" s="365"/>
      <c r="D178" s="365"/>
      <c r="E178" s="365"/>
      <c r="F178" s="365"/>
      <c r="G178" s="365"/>
      <c r="H178" s="383"/>
      <c r="I178" s="365"/>
      <c r="J178" s="383"/>
      <c r="K178" s="365"/>
      <c r="L178" s="365"/>
      <c r="M178" s="365"/>
      <c r="N178" s="383"/>
      <c r="O178" s="365"/>
      <c r="P178" s="365"/>
      <c r="Q178" s="365"/>
      <c r="R178" s="383"/>
      <c r="S178" s="365"/>
      <c r="T178" s="383"/>
      <c r="U178" s="365"/>
      <c r="V178" s="383"/>
      <c r="W178" s="365"/>
      <c r="X178" s="383"/>
      <c r="Y178" s="365"/>
      <c r="Z178" s="383"/>
      <c r="AA178" s="365"/>
      <c r="AB178" s="365"/>
      <c r="AC178" s="365"/>
      <c r="AD178" s="383"/>
      <c r="AE178" s="365"/>
      <c r="AF178" s="383"/>
      <c r="AG178" s="365"/>
      <c r="AH178" s="383"/>
      <c r="AI178" s="365"/>
      <c r="AJ178" s="383"/>
      <c r="AK178" s="365"/>
      <c r="AL178" s="383"/>
      <c r="AM178" s="353"/>
    </row>
    <row r="179" spans="1:39" s="352" customFormat="1">
      <c r="A179" s="364"/>
      <c r="B179" s="364"/>
      <c r="C179" s="365"/>
      <c r="D179" s="365"/>
      <c r="E179" s="365"/>
      <c r="F179" s="365"/>
      <c r="G179" s="365"/>
      <c r="H179" s="383"/>
      <c r="I179" s="365"/>
      <c r="J179" s="383"/>
      <c r="K179" s="365"/>
      <c r="L179" s="365"/>
      <c r="M179" s="365"/>
      <c r="N179" s="383"/>
      <c r="O179" s="365"/>
      <c r="P179" s="365"/>
      <c r="Q179" s="365"/>
      <c r="R179" s="383"/>
      <c r="S179" s="365"/>
      <c r="T179" s="383"/>
      <c r="U179" s="365"/>
      <c r="V179" s="383"/>
      <c r="W179" s="365"/>
      <c r="X179" s="383"/>
      <c r="Y179" s="365"/>
      <c r="Z179" s="383"/>
      <c r="AA179" s="365"/>
      <c r="AB179" s="365"/>
      <c r="AC179" s="365"/>
      <c r="AD179" s="383"/>
      <c r="AE179" s="365"/>
      <c r="AF179" s="383"/>
      <c r="AG179" s="365"/>
      <c r="AH179" s="383"/>
      <c r="AI179" s="365"/>
      <c r="AJ179" s="383"/>
      <c r="AK179" s="365"/>
      <c r="AL179" s="383"/>
      <c r="AM179" s="353"/>
    </row>
    <row r="180" spans="1:39" s="352" customFormat="1">
      <c r="A180" s="364"/>
      <c r="B180" s="364"/>
      <c r="C180" s="365"/>
      <c r="D180" s="365"/>
      <c r="E180" s="365"/>
      <c r="F180" s="365"/>
      <c r="G180" s="365"/>
      <c r="H180" s="383"/>
      <c r="I180" s="365"/>
      <c r="J180" s="383"/>
      <c r="K180" s="365"/>
      <c r="L180" s="365"/>
      <c r="M180" s="365"/>
      <c r="N180" s="383"/>
      <c r="O180" s="365"/>
      <c r="P180" s="365"/>
      <c r="Q180" s="365"/>
      <c r="R180" s="383"/>
      <c r="S180" s="365"/>
      <c r="T180" s="383"/>
      <c r="U180" s="365"/>
      <c r="V180" s="383"/>
      <c r="W180" s="365"/>
      <c r="X180" s="383"/>
      <c r="Y180" s="365"/>
      <c r="Z180" s="383"/>
      <c r="AA180" s="365"/>
      <c r="AB180" s="365"/>
      <c r="AC180" s="365"/>
      <c r="AD180" s="383"/>
      <c r="AE180" s="365"/>
      <c r="AF180" s="383"/>
      <c r="AG180" s="365"/>
      <c r="AH180" s="383"/>
      <c r="AI180" s="365"/>
      <c r="AJ180" s="383"/>
      <c r="AK180" s="365"/>
      <c r="AL180" s="383"/>
      <c r="AM180" s="353"/>
    </row>
    <row r="181" spans="1:39" s="352" customFormat="1">
      <c r="A181" s="364"/>
      <c r="B181" s="364"/>
      <c r="C181" s="365"/>
      <c r="D181" s="365"/>
      <c r="E181" s="365"/>
      <c r="F181" s="365"/>
      <c r="G181" s="365"/>
      <c r="H181" s="383"/>
      <c r="I181" s="365"/>
      <c r="J181" s="383"/>
      <c r="K181" s="365"/>
      <c r="L181" s="365"/>
      <c r="M181" s="365"/>
      <c r="N181" s="383"/>
      <c r="O181" s="365"/>
      <c r="P181" s="365"/>
      <c r="Q181" s="365"/>
      <c r="R181" s="383"/>
      <c r="S181" s="365"/>
      <c r="T181" s="383"/>
      <c r="U181" s="365"/>
      <c r="V181" s="383"/>
      <c r="W181" s="365"/>
      <c r="X181" s="383"/>
      <c r="Y181" s="365"/>
      <c r="Z181" s="383"/>
      <c r="AA181" s="365"/>
      <c r="AB181" s="365"/>
      <c r="AC181" s="365"/>
      <c r="AD181" s="383"/>
      <c r="AE181" s="365"/>
      <c r="AF181" s="383"/>
      <c r="AG181" s="365"/>
      <c r="AH181" s="383"/>
      <c r="AI181" s="365"/>
      <c r="AJ181" s="383"/>
      <c r="AK181" s="365"/>
      <c r="AL181" s="383"/>
      <c r="AM181" s="353"/>
    </row>
    <row r="182" spans="1:39" s="352" customFormat="1">
      <c r="A182" s="364"/>
      <c r="B182" s="364"/>
      <c r="C182" s="365"/>
      <c r="D182" s="365"/>
      <c r="E182" s="365"/>
      <c r="F182" s="365"/>
      <c r="G182" s="365"/>
      <c r="H182" s="383"/>
      <c r="I182" s="365"/>
      <c r="J182" s="383"/>
      <c r="K182" s="365"/>
      <c r="L182" s="365"/>
      <c r="M182" s="365"/>
      <c r="N182" s="383"/>
      <c r="O182" s="365"/>
      <c r="P182" s="365"/>
      <c r="Q182" s="365"/>
      <c r="R182" s="383"/>
      <c r="S182" s="365"/>
      <c r="T182" s="383"/>
      <c r="U182" s="365"/>
      <c r="V182" s="383"/>
      <c r="W182" s="365"/>
      <c r="X182" s="383"/>
      <c r="Y182" s="365"/>
      <c r="Z182" s="383"/>
      <c r="AA182" s="365"/>
      <c r="AB182" s="365"/>
      <c r="AC182" s="365"/>
      <c r="AD182" s="383"/>
      <c r="AE182" s="365"/>
      <c r="AF182" s="383"/>
      <c r="AG182" s="365"/>
      <c r="AH182" s="383"/>
      <c r="AI182" s="365"/>
      <c r="AJ182" s="383"/>
      <c r="AK182" s="365"/>
      <c r="AL182" s="383"/>
      <c r="AM182" s="353"/>
    </row>
    <row r="183" spans="1:39" s="352" customFormat="1">
      <c r="A183" s="364"/>
      <c r="B183" s="364"/>
      <c r="C183" s="365"/>
      <c r="D183" s="365"/>
      <c r="E183" s="365"/>
      <c r="F183" s="365"/>
      <c r="G183" s="365"/>
      <c r="H183" s="383"/>
      <c r="I183" s="365"/>
      <c r="J183" s="383"/>
      <c r="K183" s="365"/>
      <c r="L183" s="365"/>
      <c r="M183" s="365"/>
      <c r="N183" s="383"/>
      <c r="O183" s="365"/>
      <c r="P183" s="365"/>
      <c r="Q183" s="365"/>
      <c r="R183" s="383"/>
      <c r="S183" s="365"/>
      <c r="T183" s="383"/>
      <c r="U183" s="365"/>
      <c r="V183" s="383"/>
      <c r="W183" s="365"/>
      <c r="X183" s="383"/>
      <c r="Y183" s="365"/>
      <c r="Z183" s="383"/>
      <c r="AA183" s="365"/>
      <c r="AB183" s="365"/>
      <c r="AC183" s="365"/>
      <c r="AD183" s="383"/>
      <c r="AE183" s="365"/>
      <c r="AF183" s="383"/>
      <c r="AG183" s="365"/>
      <c r="AH183" s="383"/>
      <c r="AI183" s="365"/>
      <c r="AJ183" s="383"/>
      <c r="AK183" s="365"/>
      <c r="AL183" s="383"/>
      <c r="AM183" s="353"/>
    </row>
    <row r="184" spans="1:39" s="352" customFormat="1">
      <c r="A184" s="364"/>
      <c r="B184" s="364"/>
      <c r="C184" s="365"/>
      <c r="D184" s="365"/>
      <c r="E184" s="365"/>
      <c r="F184" s="365"/>
      <c r="G184" s="365"/>
      <c r="H184" s="383"/>
      <c r="I184" s="365"/>
      <c r="J184" s="383"/>
      <c r="K184" s="365"/>
      <c r="L184" s="365"/>
      <c r="M184" s="365"/>
      <c r="N184" s="383"/>
      <c r="O184" s="365"/>
      <c r="P184" s="365"/>
      <c r="Q184" s="365"/>
      <c r="R184" s="383"/>
      <c r="S184" s="365"/>
      <c r="T184" s="383"/>
      <c r="U184" s="365"/>
      <c r="V184" s="383"/>
      <c r="W184" s="365"/>
      <c r="X184" s="383"/>
      <c r="Y184" s="365"/>
      <c r="Z184" s="383"/>
      <c r="AA184" s="365"/>
      <c r="AB184" s="365"/>
      <c r="AC184" s="365"/>
      <c r="AD184" s="383"/>
      <c r="AE184" s="365"/>
      <c r="AF184" s="383"/>
      <c r="AG184" s="365"/>
      <c r="AH184" s="383"/>
      <c r="AI184" s="365"/>
      <c r="AJ184" s="383"/>
      <c r="AK184" s="365"/>
      <c r="AL184" s="383"/>
      <c r="AM184" s="353"/>
    </row>
    <row r="185" spans="1:39" s="352" customFormat="1">
      <c r="A185" s="364"/>
      <c r="B185" s="364"/>
      <c r="C185" s="365"/>
      <c r="D185" s="365"/>
      <c r="E185" s="365"/>
      <c r="F185" s="365"/>
      <c r="G185" s="365"/>
      <c r="H185" s="383"/>
      <c r="I185" s="365"/>
      <c r="J185" s="383"/>
      <c r="K185" s="365"/>
      <c r="L185" s="365"/>
      <c r="M185" s="365"/>
      <c r="N185" s="383"/>
      <c r="O185" s="365"/>
      <c r="P185" s="365"/>
      <c r="Q185" s="365"/>
      <c r="R185" s="383"/>
      <c r="S185" s="365"/>
      <c r="T185" s="383"/>
      <c r="U185" s="365"/>
      <c r="V185" s="383"/>
      <c r="W185" s="365"/>
      <c r="X185" s="383"/>
      <c r="Y185" s="365"/>
      <c r="Z185" s="383"/>
      <c r="AA185" s="365"/>
      <c r="AB185" s="365"/>
      <c r="AC185" s="365"/>
      <c r="AD185" s="383"/>
      <c r="AE185" s="365"/>
      <c r="AF185" s="383"/>
      <c r="AG185" s="365"/>
      <c r="AH185" s="383"/>
      <c r="AI185" s="365"/>
      <c r="AJ185" s="383"/>
      <c r="AK185" s="365"/>
      <c r="AL185" s="383"/>
      <c r="AM185" s="353"/>
    </row>
    <row r="186" spans="1:39" s="352" customFormat="1">
      <c r="A186" s="364"/>
      <c r="B186" s="364"/>
      <c r="C186" s="365"/>
      <c r="D186" s="365"/>
      <c r="E186" s="365"/>
      <c r="F186" s="365"/>
      <c r="G186" s="365"/>
      <c r="H186" s="383"/>
      <c r="I186" s="365"/>
      <c r="J186" s="383"/>
      <c r="K186" s="365"/>
      <c r="L186" s="365"/>
      <c r="M186" s="365"/>
      <c r="N186" s="383"/>
      <c r="O186" s="365"/>
      <c r="P186" s="365"/>
      <c r="Q186" s="365"/>
      <c r="R186" s="383"/>
      <c r="S186" s="365"/>
      <c r="T186" s="383"/>
      <c r="U186" s="365"/>
      <c r="V186" s="383"/>
      <c r="W186" s="365"/>
      <c r="X186" s="383"/>
      <c r="Y186" s="365"/>
      <c r="Z186" s="383"/>
      <c r="AA186" s="365"/>
      <c r="AB186" s="365"/>
      <c r="AC186" s="365"/>
      <c r="AD186" s="383"/>
      <c r="AE186" s="365"/>
      <c r="AF186" s="383"/>
      <c r="AG186" s="365"/>
      <c r="AH186" s="383"/>
      <c r="AI186" s="365"/>
      <c r="AJ186" s="383"/>
      <c r="AK186" s="365"/>
      <c r="AL186" s="383"/>
      <c r="AM186" s="353"/>
    </row>
    <row r="187" spans="1:39" s="352" customFormat="1">
      <c r="A187" s="364"/>
      <c r="B187" s="364"/>
      <c r="C187" s="365"/>
      <c r="D187" s="365"/>
      <c r="E187" s="365"/>
      <c r="F187" s="365"/>
      <c r="G187" s="365"/>
      <c r="H187" s="383"/>
      <c r="I187" s="365"/>
      <c r="J187" s="383"/>
      <c r="K187" s="365"/>
      <c r="L187" s="365"/>
      <c r="M187" s="365"/>
      <c r="N187" s="383"/>
      <c r="O187" s="365"/>
      <c r="P187" s="365"/>
      <c r="Q187" s="365"/>
      <c r="R187" s="383"/>
      <c r="S187" s="365"/>
      <c r="T187" s="383"/>
      <c r="U187" s="365"/>
      <c r="V187" s="383"/>
      <c r="W187" s="365"/>
      <c r="X187" s="383"/>
      <c r="Y187" s="365"/>
      <c r="Z187" s="383"/>
      <c r="AA187" s="365"/>
      <c r="AB187" s="365"/>
      <c r="AC187" s="365"/>
      <c r="AD187" s="383"/>
      <c r="AE187" s="365"/>
      <c r="AF187" s="383"/>
      <c r="AG187" s="365"/>
      <c r="AH187" s="383"/>
      <c r="AI187" s="365"/>
      <c r="AJ187" s="383"/>
      <c r="AK187" s="365"/>
      <c r="AL187" s="383"/>
      <c r="AM187" s="353"/>
    </row>
    <row r="188" spans="1:39" s="352" customFormat="1">
      <c r="A188" s="364"/>
      <c r="B188" s="364"/>
      <c r="C188" s="365"/>
      <c r="D188" s="365"/>
      <c r="E188" s="365"/>
      <c r="F188" s="365"/>
      <c r="G188" s="365"/>
      <c r="H188" s="383"/>
      <c r="I188" s="365"/>
      <c r="J188" s="383"/>
      <c r="K188" s="365"/>
      <c r="L188" s="365"/>
      <c r="M188" s="365"/>
      <c r="N188" s="383"/>
      <c r="O188" s="365"/>
      <c r="P188" s="365"/>
      <c r="Q188" s="365"/>
      <c r="R188" s="383"/>
      <c r="S188" s="365"/>
      <c r="T188" s="383"/>
      <c r="U188" s="365"/>
      <c r="V188" s="383"/>
      <c r="W188" s="365"/>
      <c r="X188" s="383"/>
      <c r="Y188" s="365"/>
      <c r="Z188" s="383"/>
      <c r="AA188" s="365"/>
      <c r="AB188" s="365"/>
      <c r="AC188" s="365"/>
      <c r="AD188" s="383"/>
      <c r="AE188" s="365"/>
      <c r="AF188" s="383"/>
      <c r="AG188" s="365"/>
      <c r="AH188" s="383"/>
      <c r="AI188" s="365"/>
      <c r="AJ188" s="383"/>
      <c r="AK188" s="365"/>
      <c r="AL188" s="383"/>
      <c r="AM188" s="353"/>
    </row>
    <row r="189" spans="1:39" s="352" customFormat="1">
      <c r="A189" s="364"/>
      <c r="B189" s="364"/>
      <c r="C189" s="365"/>
      <c r="D189" s="365"/>
      <c r="E189" s="365"/>
      <c r="F189" s="365"/>
      <c r="G189" s="365"/>
      <c r="H189" s="383"/>
      <c r="I189" s="365"/>
      <c r="J189" s="383"/>
      <c r="K189" s="365"/>
      <c r="L189" s="365"/>
      <c r="M189" s="365"/>
      <c r="N189" s="383"/>
      <c r="O189" s="365"/>
      <c r="P189" s="365"/>
      <c r="Q189" s="365"/>
      <c r="R189" s="383"/>
      <c r="S189" s="365"/>
      <c r="T189" s="383"/>
      <c r="U189" s="365"/>
      <c r="V189" s="383"/>
      <c r="W189" s="365"/>
      <c r="X189" s="383"/>
      <c r="Y189" s="365"/>
      <c r="Z189" s="383"/>
      <c r="AA189" s="365"/>
      <c r="AB189" s="365"/>
      <c r="AC189" s="365"/>
      <c r="AD189" s="383"/>
      <c r="AE189" s="365"/>
      <c r="AF189" s="383"/>
      <c r="AG189" s="365"/>
      <c r="AH189" s="383"/>
      <c r="AI189" s="365"/>
      <c r="AJ189" s="383"/>
      <c r="AK189" s="365"/>
      <c r="AL189" s="383"/>
      <c r="AM189" s="353"/>
    </row>
    <row r="190" spans="1:39" s="352" customFormat="1">
      <c r="A190" s="364"/>
      <c r="B190" s="364"/>
      <c r="C190" s="365"/>
      <c r="D190" s="365"/>
      <c r="E190" s="365"/>
      <c r="F190" s="365"/>
      <c r="G190" s="365"/>
      <c r="H190" s="383"/>
      <c r="I190" s="365"/>
      <c r="J190" s="383"/>
      <c r="K190" s="365"/>
      <c r="L190" s="365"/>
      <c r="M190" s="365"/>
      <c r="N190" s="383"/>
      <c r="O190" s="365"/>
      <c r="P190" s="365"/>
      <c r="Q190" s="365"/>
      <c r="R190" s="383"/>
      <c r="S190" s="365"/>
      <c r="T190" s="383"/>
      <c r="U190" s="365"/>
      <c r="V190" s="383"/>
      <c r="W190" s="365"/>
      <c r="X190" s="383"/>
      <c r="Y190" s="365"/>
      <c r="Z190" s="383"/>
      <c r="AA190" s="365"/>
      <c r="AB190" s="365"/>
      <c r="AC190" s="365"/>
      <c r="AD190" s="383"/>
      <c r="AE190" s="365"/>
      <c r="AF190" s="383"/>
      <c r="AG190" s="365"/>
      <c r="AH190" s="383"/>
      <c r="AI190" s="365"/>
      <c r="AJ190" s="383"/>
      <c r="AK190" s="365"/>
      <c r="AL190" s="383"/>
      <c r="AM190" s="353"/>
    </row>
    <row r="191" spans="1:39" s="352" customFormat="1">
      <c r="A191" s="364"/>
      <c r="B191" s="364"/>
      <c r="C191" s="365"/>
      <c r="D191" s="365"/>
      <c r="E191" s="365"/>
      <c r="F191" s="365"/>
      <c r="G191" s="365"/>
      <c r="H191" s="383"/>
      <c r="I191" s="365"/>
      <c r="J191" s="383"/>
      <c r="K191" s="365"/>
      <c r="L191" s="365"/>
      <c r="M191" s="365"/>
      <c r="N191" s="383"/>
      <c r="O191" s="365"/>
      <c r="P191" s="365"/>
      <c r="Q191" s="365"/>
      <c r="R191" s="383"/>
      <c r="S191" s="365"/>
      <c r="T191" s="383"/>
      <c r="U191" s="365"/>
      <c r="V191" s="383"/>
      <c r="W191" s="365"/>
      <c r="X191" s="383"/>
      <c r="Y191" s="365"/>
      <c r="Z191" s="383"/>
      <c r="AA191" s="365"/>
      <c r="AB191" s="365"/>
      <c r="AC191" s="365"/>
      <c r="AD191" s="383"/>
      <c r="AE191" s="365"/>
      <c r="AF191" s="383"/>
      <c r="AG191" s="365"/>
      <c r="AH191" s="383"/>
      <c r="AI191" s="365"/>
      <c r="AJ191" s="383"/>
      <c r="AK191" s="365"/>
      <c r="AL191" s="383"/>
      <c r="AM191" s="353"/>
    </row>
    <row r="192" spans="1:39" s="352" customFormat="1">
      <c r="A192" s="364"/>
      <c r="B192" s="364"/>
      <c r="C192" s="365"/>
      <c r="D192" s="365"/>
      <c r="E192" s="365"/>
      <c r="F192" s="365"/>
      <c r="G192" s="365"/>
      <c r="H192" s="383"/>
      <c r="I192" s="365"/>
      <c r="J192" s="383"/>
      <c r="K192" s="365"/>
      <c r="L192" s="365"/>
      <c r="M192" s="365"/>
      <c r="N192" s="383"/>
      <c r="O192" s="365"/>
      <c r="P192" s="365"/>
      <c r="Q192" s="365"/>
      <c r="R192" s="383"/>
      <c r="S192" s="365"/>
      <c r="T192" s="383"/>
      <c r="U192" s="365"/>
      <c r="V192" s="383"/>
      <c r="W192" s="365"/>
      <c r="X192" s="383"/>
      <c r="Y192" s="365"/>
      <c r="Z192" s="383"/>
      <c r="AA192" s="365"/>
      <c r="AB192" s="365"/>
      <c r="AC192" s="365"/>
      <c r="AD192" s="383"/>
      <c r="AE192" s="365"/>
      <c r="AF192" s="383"/>
      <c r="AG192" s="365"/>
      <c r="AH192" s="383"/>
      <c r="AI192" s="365"/>
      <c r="AJ192" s="383"/>
      <c r="AK192" s="365"/>
      <c r="AL192" s="383"/>
      <c r="AM192" s="353"/>
    </row>
    <row r="193" spans="1:39" s="352" customFormat="1">
      <c r="A193" s="364"/>
      <c r="B193" s="364"/>
      <c r="C193" s="365"/>
      <c r="D193" s="365"/>
      <c r="E193" s="365"/>
      <c r="F193" s="365"/>
      <c r="G193" s="365"/>
      <c r="H193" s="383"/>
      <c r="I193" s="365"/>
      <c r="J193" s="383"/>
      <c r="K193" s="365"/>
      <c r="L193" s="365"/>
      <c r="M193" s="365"/>
      <c r="N193" s="383"/>
      <c r="O193" s="365"/>
      <c r="P193" s="365"/>
      <c r="Q193" s="365"/>
      <c r="R193" s="383"/>
      <c r="S193" s="365"/>
      <c r="T193" s="383"/>
      <c r="U193" s="365"/>
      <c r="V193" s="383"/>
      <c r="W193" s="365"/>
      <c r="X193" s="383"/>
      <c r="Y193" s="365"/>
      <c r="Z193" s="383"/>
      <c r="AA193" s="365"/>
      <c r="AB193" s="365"/>
      <c r="AC193" s="365"/>
      <c r="AD193" s="383"/>
      <c r="AE193" s="365"/>
      <c r="AF193" s="383"/>
      <c r="AG193" s="365"/>
      <c r="AH193" s="383"/>
      <c r="AI193" s="365"/>
      <c r="AJ193" s="383"/>
      <c r="AK193" s="365"/>
      <c r="AL193" s="383"/>
      <c r="AM193" s="353"/>
    </row>
    <row r="194" spans="1:39" s="352" customFormat="1">
      <c r="A194" s="364"/>
      <c r="B194" s="364"/>
      <c r="C194" s="365"/>
      <c r="D194" s="365"/>
      <c r="E194" s="365"/>
      <c r="F194" s="365"/>
      <c r="G194" s="365"/>
      <c r="H194" s="383"/>
      <c r="I194" s="365"/>
      <c r="J194" s="383"/>
      <c r="K194" s="365"/>
      <c r="L194" s="365"/>
      <c r="M194" s="365"/>
      <c r="N194" s="383"/>
      <c r="O194" s="365"/>
      <c r="P194" s="365"/>
      <c r="Q194" s="365"/>
      <c r="R194" s="383"/>
      <c r="S194" s="365"/>
      <c r="T194" s="383"/>
      <c r="U194" s="365"/>
      <c r="V194" s="383"/>
      <c r="W194" s="365"/>
      <c r="X194" s="383"/>
      <c r="Y194" s="365"/>
      <c r="Z194" s="383"/>
      <c r="AA194" s="365"/>
      <c r="AB194" s="365"/>
      <c r="AC194" s="365"/>
      <c r="AD194" s="383"/>
      <c r="AE194" s="365"/>
      <c r="AF194" s="383"/>
      <c r="AG194" s="365"/>
      <c r="AH194" s="383"/>
      <c r="AI194" s="365"/>
      <c r="AJ194" s="383"/>
      <c r="AK194" s="365"/>
      <c r="AL194" s="383"/>
      <c r="AM194" s="353"/>
    </row>
    <row r="195" spans="1:39" s="352" customFormat="1">
      <c r="A195" s="364"/>
      <c r="B195" s="364"/>
      <c r="C195" s="365"/>
      <c r="D195" s="365"/>
      <c r="E195" s="365"/>
      <c r="F195" s="365"/>
      <c r="G195" s="365"/>
      <c r="H195" s="383"/>
      <c r="I195" s="365"/>
      <c r="J195" s="383"/>
      <c r="K195" s="365"/>
      <c r="L195" s="365"/>
      <c r="M195" s="365"/>
      <c r="N195" s="383"/>
      <c r="O195" s="365"/>
      <c r="P195" s="365"/>
      <c r="Q195" s="365"/>
      <c r="R195" s="383"/>
      <c r="S195" s="365"/>
      <c r="T195" s="383"/>
      <c r="U195" s="365"/>
      <c r="V195" s="383"/>
      <c r="W195" s="365"/>
      <c r="X195" s="383"/>
      <c r="Y195" s="365"/>
      <c r="Z195" s="383"/>
      <c r="AA195" s="365"/>
      <c r="AB195" s="365"/>
      <c r="AC195" s="365"/>
      <c r="AD195" s="383"/>
      <c r="AE195" s="365"/>
      <c r="AF195" s="383"/>
      <c r="AG195" s="365"/>
      <c r="AH195" s="383"/>
      <c r="AI195" s="365"/>
      <c r="AJ195" s="383"/>
      <c r="AK195" s="365"/>
      <c r="AL195" s="383"/>
      <c r="AM195" s="353"/>
    </row>
    <row r="196" spans="1:39" s="352" customFormat="1">
      <c r="A196" s="364"/>
      <c r="B196" s="364"/>
      <c r="C196" s="365"/>
      <c r="D196" s="365"/>
      <c r="E196" s="365"/>
      <c r="F196" s="365"/>
      <c r="G196" s="365"/>
      <c r="H196" s="383"/>
      <c r="I196" s="365"/>
      <c r="J196" s="383"/>
      <c r="K196" s="365"/>
      <c r="L196" s="365"/>
      <c r="M196" s="365"/>
      <c r="N196" s="383"/>
      <c r="O196" s="365"/>
      <c r="P196" s="365"/>
      <c r="Q196" s="365"/>
      <c r="R196" s="383"/>
      <c r="S196" s="365"/>
      <c r="T196" s="383"/>
      <c r="U196" s="365"/>
      <c r="V196" s="383"/>
      <c r="W196" s="365"/>
      <c r="X196" s="383"/>
      <c r="Y196" s="365"/>
      <c r="Z196" s="383"/>
      <c r="AA196" s="365"/>
      <c r="AB196" s="365"/>
      <c r="AC196" s="365"/>
      <c r="AD196" s="383"/>
      <c r="AE196" s="365"/>
      <c r="AF196" s="383"/>
      <c r="AG196" s="365"/>
      <c r="AH196" s="383"/>
      <c r="AI196" s="365"/>
      <c r="AJ196" s="383"/>
      <c r="AK196" s="365"/>
      <c r="AL196" s="383"/>
      <c r="AM196" s="353"/>
    </row>
    <row r="197" spans="1:39" s="352" customFormat="1">
      <c r="A197" s="364"/>
      <c r="B197" s="364"/>
      <c r="C197" s="365"/>
      <c r="D197" s="365"/>
      <c r="E197" s="365"/>
      <c r="F197" s="365"/>
      <c r="G197" s="365"/>
      <c r="H197" s="383"/>
      <c r="I197" s="365"/>
      <c r="J197" s="383"/>
      <c r="K197" s="365"/>
      <c r="L197" s="365"/>
      <c r="M197" s="365"/>
      <c r="N197" s="383"/>
      <c r="O197" s="365"/>
      <c r="P197" s="365"/>
      <c r="Q197" s="365"/>
      <c r="R197" s="383"/>
      <c r="S197" s="365"/>
      <c r="T197" s="383"/>
      <c r="U197" s="365"/>
      <c r="V197" s="383"/>
      <c r="W197" s="365"/>
      <c r="X197" s="383"/>
      <c r="Y197" s="365"/>
      <c r="Z197" s="383"/>
      <c r="AA197" s="365"/>
      <c r="AB197" s="365"/>
      <c r="AC197" s="365"/>
      <c r="AD197" s="383"/>
      <c r="AE197" s="365"/>
      <c r="AF197" s="383"/>
      <c r="AG197" s="365"/>
      <c r="AH197" s="383"/>
      <c r="AI197" s="365"/>
      <c r="AJ197" s="383"/>
      <c r="AK197" s="365"/>
      <c r="AL197" s="383"/>
      <c r="AM197" s="353"/>
    </row>
    <row r="198" spans="1:39" s="352" customFormat="1">
      <c r="A198" s="364"/>
      <c r="B198" s="364"/>
      <c r="C198" s="365"/>
      <c r="D198" s="365"/>
      <c r="E198" s="365"/>
      <c r="F198" s="365"/>
      <c r="G198" s="365"/>
      <c r="H198" s="383"/>
      <c r="I198" s="365"/>
      <c r="J198" s="383"/>
      <c r="K198" s="365"/>
      <c r="L198" s="365"/>
      <c r="M198" s="365"/>
      <c r="N198" s="383"/>
      <c r="O198" s="365"/>
      <c r="P198" s="365"/>
      <c r="Q198" s="365"/>
      <c r="R198" s="383"/>
      <c r="S198" s="365"/>
      <c r="T198" s="383"/>
      <c r="U198" s="365"/>
      <c r="V198" s="383"/>
      <c r="W198" s="365"/>
      <c r="X198" s="383"/>
      <c r="Y198" s="365"/>
      <c r="Z198" s="383"/>
      <c r="AA198" s="365"/>
      <c r="AB198" s="365"/>
      <c r="AC198" s="365"/>
      <c r="AD198" s="383"/>
      <c r="AE198" s="365"/>
      <c r="AF198" s="383"/>
      <c r="AG198" s="365"/>
      <c r="AH198" s="383"/>
      <c r="AI198" s="365"/>
      <c r="AJ198" s="383"/>
      <c r="AK198" s="365"/>
      <c r="AL198" s="383"/>
      <c r="AM198" s="353"/>
    </row>
    <row r="199" spans="1:39" s="352" customFormat="1">
      <c r="A199" s="364"/>
      <c r="B199" s="364"/>
      <c r="C199" s="365"/>
      <c r="D199" s="365"/>
      <c r="E199" s="365"/>
      <c r="F199" s="365"/>
      <c r="G199" s="365"/>
      <c r="H199" s="383"/>
      <c r="I199" s="365"/>
      <c r="J199" s="383"/>
      <c r="K199" s="365"/>
      <c r="L199" s="365"/>
      <c r="M199" s="365"/>
      <c r="N199" s="383"/>
      <c r="O199" s="365"/>
      <c r="P199" s="365"/>
      <c r="Q199" s="365"/>
      <c r="R199" s="383"/>
      <c r="S199" s="365"/>
      <c r="T199" s="383"/>
      <c r="U199" s="365"/>
      <c r="V199" s="383"/>
      <c r="W199" s="365"/>
      <c r="X199" s="383"/>
      <c r="Y199" s="365"/>
      <c r="Z199" s="383"/>
      <c r="AA199" s="365"/>
      <c r="AB199" s="365"/>
      <c r="AC199" s="365"/>
      <c r="AD199" s="383"/>
      <c r="AE199" s="365"/>
      <c r="AF199" s="383"/>
      <c r="AG199" s="365"/>
      <c r="AH199" s="383"/>
      <c r="AI199" s="365"/>
      <c r="AJ199" s="383"/>
      <c r="AK199" s="365"/>
      <c r="AL199" s="383"/>
      <c r="AM199" s="353"/>
    </row>
    <row r="200" spans="1:39" s="352" customFormat="1">
      <c r="A200" s="364"/>
      <c r="B200" s="364"/>
      <c r="C200" s="365"/>
      <c r="D200" s="365"/>
      <c r="E200" s="365"/>
      <c r="F200" s="365"/>
      <c r="G200" s="365"/>
      <c r="H200" s="383"/>
      <c r="I200" s="365"/>
      <c r="J200" s="383"/>
      <c r="K200" s="365"/>
      <c r="L200" s="365"/>
      <c r="M200" s="365"/>
      <c r="N200" s="383"/>
      <c r="O200" s="365"/>
      <c r="P200" s="365"/>
      <c r="Q200" s="365"/>
      <c r="R200" s="383"/>
      <c r="S200" s="365"/>
      <c r="T200" s="383"/>
      <c r="U200" s="365"/>
      <c r="V200" s="383"/>
      <c r="W200" s="365"/>
      <c r="X200" s="383"/>
      <c r="Y200" s="365"/>
      <c r="Z200" s="383"/>
      <c r="AA200" s="365"/>
      <c r="AB200" s="365"/>
      <c r="AC200" s="365"/>
      <c r="AD200" s="383"/>
      <c r="AE200" s="365"/>
      <c r="AF200" s="383"/>
      <c r="AG200" s="365"/>
      <c r="AH200" s="383"/>
      <c r="AI200" s="365"/>
      <c r="AJ200" s="383"/>
      <c r="AK200" s="365"/>
      <c r="AL200" s="383"/>
      <c r="AM200" s="353"/>
    </row>
    <row r="201" spans="1:39" s="352" customFormat="1">
      <c r="A201" s="364"/>
      <c r="B201" s="364"/>
      <c r="C201" s="365"/>
      <c r="D201" s="365"/>
      <c r="E201" s="365"/>
      <c r="F201" s="365"/>
      <c r="G201" s="365"/>
      <c r="H201" s="383"/>
      <c r="I201" s="365"/>
      <c r="J201" s="383"/>
      <c r="K201" s="365"/>
      <c r="L201" s="365"/>
      <c r="M201" s="365"/>
      <c r="N201" s="383"/>
      <c r="O201" s="365"/>
      <c r="P201" s="365"/>
      <c r="Q201" s="365"/>
      <c r="R201" s="383"/>
      <c r="S201" s="365"/>
      <c r="T201" s="383"/>
      <c r="U201" s="365"/>
      <c r="V201" s="383"/>
      <c r="W201" s="365"/>
      <c r="X201" s="383"/>
      <c r="Y201" s="365"/>
      <c r="Z201" s="383"/>
      <c r="AA201" s="365"/>
      <c r="AB201" s="365"/>
      <c r="AC201" s="365"/>
      <c r="AD201" s="383"/>
      <c r="AE201" s="365"/>
      <c r="AF201" s="383"/>
      <c r="AG201" s="365"/>
      <c r="AH201" s="383"/>
      <c r="AI201" s="365"/>
      <c r="AJ201" s="383"/>
      <c r="AK201" s="365"/>
      <c r="AL201" s="383"/>
      <c r="AM201" s="353"/>
    </row>
    <row r="202" spans="1:39" s="352" customFormat="1">
      <c r="A202" s="364"/>
      <c r="B202" s="364"/>
      <c r="C202" s="365"/>
      <c r="D202" s="365"/>
      <c r="E202" s="365"/>
      <c r="F202" s="365"/>
      <c r="G202" s="365"/>
      <c r="H202" s="383"/>
      <c r="I202" s="365"/>
      <c r="J202" s="383"/>
      <c r="K202" s="365"/>
      <c r="L202" s="365"/>
      <c r="M202" s="365"/>
      <c r="N202" s="383"/>
      <c r="O202" s="365"/>
      <c r="P202" s="365"/>
      <c r="Q202" s="365"/>
      <c r="R202" s="383"/>
      <c r="S202" s="365"/>
      <c r="T202" s="383"/>
      <c r="U202" s="365"/>
      <c r="V202" s="383"/>
      <c r="W202" s="365"/>
      <c r="X202" s="383"/>
      <c r="Y202" s="365"/>
      <c r="Z202" s="383"/>
      <c r="AA202" s="365"/>
      <c r="AB202" s="365"/>
      <c r="AC202" s="365"/>
      <c r="AD202" s="383"/>
      <c r="AE202" s="365"/>
      <c r="AF202" s="383"/>
      <c r="AG202" s="365"/>
      <c r="AH202" s="383"/>
      <c r="AI202" s="365"/>
      <c r="AJ202" s="383"/>
      <c r="AK202" s="365"/>
      <c r="AL202" s="383"/>
      <c r="AM202" s="353"/>
    </row>
    <row r="203" spans="1:39" s="352" customFormat="1">
      <c r="A203" s="364"/>
      <c r="B203" s="364"/>
      <c r="C203" s="365"/>
      <c r="D203" s="365"/>
      <c r="E203" s="365"/>
      <c r="F203" s="365"/>
      <c r="G203" s="365"/>
      <c r="H203" s="383"/>
      <c r="I203" s="365"/>
      <c r="J203" s="383"/>
      <c r="K203" s="365"/>
      <c r="L203" s="365"/>
      <c r="M203" s="365"/>
      <c r="N203" s="383"/>
      <c r="O203" s="365"/>
      <c r="P203" s="365"/>
      <c r="Q203" s="365"/>
      <c r="R203" s="383"/>
      <c r="S203" s="365"/>
      <c r="T203" s="383"/>
      <c r="U203" s="365"/>
      <c r="V203" s="383"/>
      <c r="W203" s="365"/>
      <c r="X203" s="383"/>
      <c r="Y203" s="365"/>
      <c r="Z203" s="383"/>
      <c r="AA203" s="365"/>
      <c r="AB203" s="365"/>
      <c r="AC203" s="365"/>
      <c r="AD203" s="383"/>
      <c r="AE203" s="365"/>
      <c r="AF203" s="383"/>
      <c r="AG203" s="365"/>
      <c r="AH203" s="383"/>
      <c r="AI203" s="365"/>
      <c r="AJ203" s="383"/>
      <c r="AK203" s="365"/>
      <c r="AL203" s="383"/>
      <c r="AM203" s="353"/>
    </row>
    <row r="204" spans="1:39" s="352" customFormat="1">
      <c r="A204" s="364"/>
      <c r="B204" s="364"/>
      <c r="C204" s="365"/>
      <c r="D204" s="365"/>
      <c r="E204" s="365"/>
      <c r="F204" s="365"/>
      <c r="G204" s="365"/>
      <c r="H204" s="383"/>
      <c r="I204" s="365"/>
      <c r="J204" s="383"/>
      <c r="K204" s="365"/>
      <c r="L204" s="365"/>
      <c r="M204" s="365"/>
      <c r="N204" s="383"/>
      <c r="O204" s="365"/>
      <c r="P204" s="365"/>
      <c r="Q204" s="365"/>
      <c r="R204" s="383"/>
      <c r="S204" s="365"/>
      <c r="T204" s="383"/>
      <c r="U204" s="365"/>
      <c r="V204" s="383"/>
      <c r="W204" s="365"/>
      <c r="X204" s="383"/>
      <c r="Y204" s="365"/>
      <c r="Z204" s="383"/>
      <c r="AA204" s="365"/>
      <c r="AB204" s="365"/>
      <c r="AC204" s="365"/>
      <c r="AD204" s="383"/>
      <c r="AE204" s="365"/>
      <c r="AF204" s="383"/>
      <c r="AG204" s="365"/>
      <c r="AH204" s="383"/>
      <c r="AI204" s="365"/>
      <c r="AJ204" s="383"/>
      <c r="AK204" s="365"/>
      <c r="AL204" s="383"/>
      <c r="AM204" s="353"/>
    </row>
    <row r="205" spans="1:39" s="352" customFormat="1">
      <c r="A205" s="364"/>
      <c r="B205" s="364"/>
      <c r="C205" s="365"/>
      <c r="D205" s="365"/>
      <c r="E205" s="365"/>
      <c r="F205" s="365"/>
      <c r="G205" s="365"/>
      <c r="H205" s="383"/>
      <c r="I205" s="365"/>
      <c r="J205" s="383"/>
      <c r="K205" s="365"/>
      <c r="L205" s="365"/>
      <c r="M205" s="365"/>
      <c r="N205" s="383"/>
      <c r="O205" s="365"/>
      <c r="P205" s="365"/>
      <c r="Q205" s="365"/>
      <c r="R205" s="383"/>
      <c r="S205" s="365"/>
      <c r="T205" s="383"/>
      <c r="U205" s="365"/>
      <c r="V205" s="383"/>
      <c r="W205" s="365"/>
      <c r="X205" s="383"/>
      <c r="Y205" s="365"/>
      <c r="Z205" s="383"/>
      <c r="AA205" s="365"/>
      <c r="AB205" s="365"/>
      <c r="AC205" s="365"/>
      <c r="AD205" s="383"/>
      <c r="AE205" s="365"/>
      <c r="AF205" s="383"/>
      <c r="AG205" s="365"/>
      <c r="AH205" s="383"/>
      <c r="AI205" s="365"/>
      <c r="AJ205" s="383"/>
      <c r="AK205" s="365"/>
      <c r="AL205" s="383"/>
      <c r="AM205" s="353"/>
    </row>
    <row r="206" spans="1:39" s="352" customFormat="1">
      <c r="A206" s="364"/>
      <c r="B206" s="364"/>
      <c r="C206" s="365"/>
      <c r="D206" s="365"/>
      <c r="E206" s="365"/>
      <c r="F206" s="365"/>
      <c r="G206" s="365"/>
      <c r="H206" s="383"/>
      <c r="I206" s="365"/>
      <c r="J206" s="383"/>
      <c r="K206" s="365"/>
      <c r="L206" s="365"/>
      <c r="M206" s="365"/>
      <c r="N206" s="383"/>
      <c r="O206" s="365"/>
      <c r="P206" s="365"/>
      <c r="Q206" s="365"/>
      <c r="R206" s="383"/>
      <c r="S206" s="365"/>
      <c r="T206" s="383"/>
      <c r="U206" s="365"/>
      <c r="V206" s="383"/>
      <c r="W206" s="365"/>
      <c r="X206" s="383"/>
      <c r="Y206" s="365"/>
      <c r="Z206" s="383"/>
      <c r="AA206" s="365"/>
      <c r="AB206" s="365"/>
      <c r="AC206" s="365"/>
      <c r="AD206" s="383"/>
      <c r="AE206" s="365"/>
      <c r="AF206" s="383"/>
      <c r="AG206" s="365"/>
      <c r="AH206" s="383"/>
      <c r="AI206" s="365"/>
      <c r="AJ206" s="383"/>
      <c r="AK206" s="365"/>
      <c r="AL206" s="383"/>
      <c r="AM206" s="353"/>
    </row>
    <row r="207" spans="1:39" s="352" customFormat="1">
      <c r="A207" s="364"/>
      <c r="B207" s="364"/>
      <c r="C207" s="365"/>
      <c r="D207" s="365"/>
      <c r="E207" s="365"/>
      <c r="F207" s="365"/>
      <c r="G207" s="365"/>
      <c r="H207" s="383"/>
      <c r="I207" s="365"/>
      <c r="J207" s="383"/>
      <c r="K207" s="365"/>
      <c r="L207" s="365"/>
      <c r="M207" s="365"/>
      <c r="N207" s="383"/>
      <c r="O207" s="365"/>
      <c r="P207" s="365"/>
      <c r="Q207" s="365"/>
      <c r="R207" s="383"/>
      <c r="S207" s="365"/>
      <c r="T207" s="383"/>
      <c r="U207" s="365"/>
      <c r="V207" s="383"/>
      <c r="W207" s="365"/>
      <c r="X207" s="383"/>
      <c r="Y207" s="365"/>
      <c r="Z207" s="383"/>
      <c r="AA207" s="365"/>
      <c r="AB207" s="365"/>
      <c r="AC207" s="365"/>
      <c r="AD207" s="383"/>
      <c r="AE207" s="365"/>
      <c r="AF207" s="383"/>
      <c r="AG207" s="365"/>
      <c r="AH207" s="383"/>
      <c r="AI207" s="365"/>
      <c r="AJ207" s="383"/>
      <c r="AK207" s="365"/>
      <c r="AL207" s="383"/>
      <c r="AM207" s="353"/>
    </row>
    <row r="208" spans="1:39" s="352" customFormat="1">
      <c r="A208" s="364"/>
      <c r="B208" s="364"/>
      <c r="C208" s="365"/>
      <c r="D208" s="365"/>
      <c r="E208" s="365"/>
      <c r="F208" s="365"/>
      <c r="G208" s="365"/>
      <c r="H208" s="383"/>
      <c r="I208" s="365"/>
      <c r="J208" s="383"/>
      <c r="K208" s="365"/>
      <c r="L208" s="365"/>
      <c r="M208" s="365"/>
      <c r="N208" s="383"/>
      <c r="O208" s="365"/>
      <c r="P208" s="365"/>
      <c r="Q208" s="365"/>
      <c r="R208" s="383"/>
      <c r="S208" s="365"/>
      <c r="T208" s="383"/>
      <c r="U208" s="365"/>
      <c r="V208" s="383"/>
      <c r="W208" s="365"/>
      <c r="X208" s="383"/>
      <c r="Y208" s="365"/>
      <c r="Z208" s="383"/>
      <c r="AA208" s="365"/>
      <c r="AB208" s="365"/>
      <c r="AC208" s="365"/>
      <c r="AD208" s="383"/>
      <c r="AE208" s="365"/>
      <c r="AF208" s="383"/>
      <c r="AG208" s="365"/>
      <c r="AH208" s="383"/>
      <c r="AI208" s="365"/>
      <c r="AJ208" s="383"/>
      <c r="AK208" s="365"/>
      <c r="AL208" s="383"/>
      <c r="AM208" s="353"/>
    </row>
    <row r="209" spans="1:39" s="352" customFormat="1">
      <c r="A209" s="364"/>
      <c r="B209" s="364"/>
      <c r="C209" s="365"/>
      <c r="D209" s="365"/>
      <c r="E209" s="365"/>
      <c r="F209" s="365"/>
      <c r="G209" s="365"/>
      <c r="H209" s="383"/>
      <c r="I209" s="365"/>
      <c r="J209" s="383"/>
      <c r="K209" s="365"/>
      <c r="L209" s="365"/>
      <c r="M209" s="365"/>
      <c r="N209" s="383"/>
      <c r="O209" s="365"/>
      <c r="P209" s="365"/>
      <c r="Q209" s="365"/>
      <c r="R209" s="383"/>
      <c r="S209" s="365"/>
      <c r="T209" s="383"/>
      <c r="U209" s="365"/>
      <c r="V209" s="383"/>
      <c r="W209" s="365"/>
      <c r="X209" s="383"/>
      <c r="Y209" s="365"/>
      <c r="Z209" s="383"/>
      <c r="AA209" s="365"/>
      <c r="AB209" s="365"/>
      <c r="AC209" s="365"/>
      <c r="AD209" s="383"/>
      <c r="AE209" s="365"/>
      <c r="AF209" s="383"/>
      <c r="AG209" s="365"/>
      <c r="AH209" s="383"/>
      <c r="AI209" s="365"/>
      <c r="AJ209" s="383"/>
      <c r="AK209" s="365"/>
      <c r="AL209" s="383"/>
      <c r="AM209" s="353"/>
    </row>
    <row r="210" spans="1:39" s="352" customFormat="1">
      <c r="A210" s="364"/>
      <c r="B210" s="364"/>
      <c r="C210" s="365"/>
      <c r="D210" s="365"/>
      <c r="E210" s="365"/>
      <c r="F210" s="365"/>
      <c r="G210" s="365"/>
      <c r="H210" s="383"/>
      <c r="I210" s="365"/>
      <c r="J210" s="383"/>
      <c r="K210" s="365"/>
      <c r="L210" s="365"/>
      <c r="M210" s="365"/>
      <c r="N210" s="383"/>
      <c r="O210" s="365"/>
      <c r="P210" s="365"/>
      <c r="Q210" s="365"/>
      <c r="R210" s="383"/>
      <c r="S210" s="365"/>
      <c r="T210" s="383"/>
      <c r="U210" s="365"/>
      <c r="V210" s="383"/>
      <c r="W210" s="365"/>
      <c r="X210" s="383"/>
      <c r="Y210" s="365"/>
      <c r="Z210" s="383"/>
      <c r="AA210" s="365"/>
      <c r="AB210" s="365"/>
      <c r="AC210" s="365"/>
      <c r="AD210" s="383"/>
      <c r="AE210" s="365"/>
      <c r="AF210" s="383"/>
      <c r="AG210" s="365"/>
      <c r="AH210" s="383"/>
      <c r="AI210" s="365"/>
      <c r="AJ210" s="383"/>
      <c r="AK210" s="365"/>
      <c r="AL210" s="383"/>
      <c r="AM210" s="353"/>
    </row>
    <row r="211" spans="1:39" s="352" customFormat="1">
      <c r="A211" s="364"/>
      <c r="B211" s="364"/>
      <c r="C211" s="365"/>
      <c r="D211" s="365"/>
      <c r="E211" s="365"/>
      <c r="F211" s="365"/>
      <c r="G211" s="365"/>
      <c r="H211" s="383"/>
      <c r="I211" s="365"/>
      <c r="J211" s="383"/>
      <c r="K211" s="365"/>
      <c r="L211" s="365"/>
      <c r="M211" s="365"/>
      <c r="N211" s="383"/>
      <c r="O211" s="365"/>
      <c r="P211" s="365"/>
      <c r="Q211" s="365"/>
      <c r="R211" s="383"/>
      <c r="S211" s="365"/>
      <c r="T211" s="383"/>
      <c r="U211" s="365"/>
      <c r="V211" s="383"/>
      <c r="W211" s="365"/>
      <c r="X211" s="383"/>
      <c r="Y211" s="365"/>
      <c r="Z211" s="383"/>
      <c r="AA211" s="365"/>
      <c r="AB211" s="365"/>
      <c r="AC211" s="365"/>
      <c r="AD211" s="383"/>
      <c r="AE211" s="365"/>
      <c r="AF211" s="383"/>
      <c r="AG211" s="365"/>
      <c r="AH211" s="383"/>
      <c r="AI211" s="365"/>
      <c r="AJ211" s="383"/>
      <c r="AK211" s="365"/>
      <c r="AL211" s="383"/>
      <c r="AM211" s="353"/>
    </row>
    <row r="212" spans="1:39" s="352" customFormat="1">
      <c r="A212" s="364"/>
      <c r="B212" s="364"/>
      <c r="C212" s="365"/>
      <c r="D212" s="365"/>
      <c r="E212" s="365"/>
      <c r="F212" s="365"/>
      <c r="G212" s="365"/>
      <c r="H212" s="383"/>
      <c r="I212" s="365"/>
      <c r="J212" s="383"/>
      <c r="K212" s="365"/>
      <c r="L212" s="365"/>
      <c r="M212" s="365"/>
      <c r="N212" s="383"/>
      <c r="O212" s="365"/>
      <c r="P212" s="365"/>
      <c r="Q212" s="365"/>
      <c r="R212" s="383"/>
      <c r="S212" s="365"/>
      <c r="T212" s="383"/>
      <c r="U212" s="365"/>
      <c r="V212" s="383"/>
      <c r="W212" s="365"/>
      <c r="X212" s="383"/>
      <c r="Y212" s="365"/>
      <c r="Z212" s="383"/>
      <c r="AA212" s="365"/>
      <c r="AB212" s="365"/>
      <c r="AC212" s="365"/>
      <c r="AD212" s="383"/>
      <c r="AE212" s="365"/>
      <c r="AF212" s="383"/>
      <c r="AG212" s="365"/>
      <c r="AH212" s="383"/>
      <c r="AI212" s="365"/>
      <c r="AJ212" s="383"/>
      <c r="AK212" s="365"/>
      <c r="AL212" s="383"/>
      <c r="AM212" s="353"/>
    </row>
    <row r="213" spans="1:39" s="352" customFormat="1">
      <c r="A213" s="364"/>
      <c r="B213" s="364"/>
      <c r="C213" s="365"/>
      <c r="D213" s="365"/>
      <c r="E213" s="365"/>
      <c r="F213" s="365"/>
      <c r="G213" s="365"/>
      <c r="H213" s="383"/>
      <c r="I213" s="365"/>
      <c r="J213" s="383"/>
      <c r="K213" s="365"/>
      <c r="L213" s="365"/>
      <c r="M213" s="365"/>
      <c r="N213" s="383"/>
      <c r="O213" s="365"/>
      <c r="P213" s="365"/>
      <c r="Q213" s="365"/>
      <c r="R213" s="383"/>
      <c r="S213" s="365"/>
      <c r="T213" s="383"/>
      <c r="U213" s="365"/>
      <c r="V213" s="383"/>
      <c r="W213" s="365"/>
      <c r="X213" s="383"/>
      <c r="Y213" s="365"/>
      <c r="Z213" s="383"/>
      <c r="AA213" s="365"/>
      <c r="AB213" s="365"/>
      <c r="AC213" s="365"/>
      <c r="AD213" s="383"/>
      <c r="AE213" s="365"/>
      <c r="AF213" s="383"/>
      <c r="AG213" s="365"/>
      <c r="AH213" s="383"/>
      <c r="AI213" s="365"/>
      <c r="AJ213" s="383"/>
      <c r="AK213" s="365"/>
      <c r="AL213" s="383"/>
      <c r="AM213" s="353"/>
    </row>
    <row r="214" spans="1:39" s="352" customFormat="1">
      <c r="A214" s="364"/>
      <c r="B214" s="364"/>
      <c r="C214" s="365"/>
      <c r="D214" s="365"/>
      <c r="E214" s="365"/>
      <c r="F214" s="365"/>
      <c r="G214" s="365"/>
      <c r="H214" s="383"/>
      <c r="I214" s="365"/>
      <c r="J214" s="383"/>
      <c r="K214" s="365"/>
      <c r="L214" s="365"/>
      <c r="M214" s="365"/>
      <c r="N214" s="383"/>
      <c r="O214" s="365"/>
      <c r="P214" s="365"/>
      <c r="Q214" s="365"/>
      <c r="R214" s="383"/>
      <c r="S214" s="365"/>
      <c r="T214" s="383"/>
      <c r="U214" s="365"/>
      <c r="V214" s="383"/>
      <c r="W214" s="365"/>
      <c r="X214" s="383"/>
      <c r="Y214" s="365"/>
      <c r="Z214" s="383"/>
      <c r="AA214" s="365"/>
      <c r="AB214" s="365"/>
      <c r="AC214" s="365"/>
      <c r="AD214" s="383"/>
      <c r="AE214" s="365"/>
      <c r="AF214" s="383"/>
      <c r="AG214" s="365"/>
      <c r="AH214" s="383"/>
      <c r="AI214" s="365"/>
      <c r="AJ214" s="383"/>
      <c r="AK214" s="365"/>
      <c r="AL214" s="383"/>
      <c r="AM214" s="353"/>
    </row>
    <row r="215" spans="1:39" s="352" customFormat="1">
      <c r="A215" s="364"/>
      <c r="B215" s="364"/>
      <c r="C215" s="365"/>
      <c r="D215" s="365"/>
      <c r="E215" s="365"/>
      <c r="F215" s="365"/>
      <c r="G215" s="365"/>
      <c r="H215" s="383"/>
      <c r="I215" s="365"/>
      <c r="J215" s="383"/>
      <c r="K215" s="365"/>
      <c r="L215" s="365"/>
      <c r="M215" s="365"/>
      <c r="N215" s="383"/>
      <c r="O215" s="365"/>
      <c r="P215" s="365"/>
      <c r="Q215" s="365"/>
      <c r="R215" s="383"/>
      <c r="S215" s="365"/>
      <c r="T215" s="383"/>
      <c r="U215" s="365"/>
      <c r="V215" s="383"/>
      <c r="W215" s="365"/>
      <c r="X215" s="383"/>
      <c r="Y215" s="365"/>
      <c r="Z215" s="383"/>
      <c r="AA215" s="365"/>
      <c r="AB215" s="365"/>
      <c r="AC215" s="365"/>
      <c r="AD215" s="383"/>
      <c r="AE215" s="365"/>
      <c r="AF215" s="383"/>
      <c r="AG215" s="365"/>
      <c r="AH215" s="383"/>
      <c r="AI215" s="365"/>
      <c r="AJ215" s="383"/>
      <c r="AK215" s="365"/>
      <c r="AL215" s="383"/>
      <c r="AM215" s="353"/>
    </row>
    <row r="216" spans="1:39" s="352" customFormat="1">
      <c r="A216" s="364"/>
      <c r="B216" s="364"/>
      <c r="C216" s="365"/>
      <c r="D216" s="365"/>
      <c r="E216" s="365"/>
      <c r="F216" s="365"/>
      <c r="G216" s="365"/>
      <c r="H216" s="383"/>
      <c r="I216" s="365"/>
      <c r="J216" s="383"/>
      <c r="K216" s="365"/>
      <c r="L216" s="365"/>
      <c r="M216" s="365"/>
      <c r="N216" s="383"/>
      <c r="O216" s="365"/>
      <c r="P216" s="365"/>
      <c r="Q216" s="365"/>
      <c r="R216" s="383"/>
      <c r="S216" s="365"/>
      <c r="T216" s="383"/>
      <c r="U216" s="365"/>
      <c r="V216" s="383"/>
      <c r="W216" s="365"/>
      <c r="X216" s="383"/>
      <c r="Y216" s="365"/>
      <c r="Z216" s="383"/>
      <c r="AA216" s="365"/>
      <c r="AB216" s="365"/>
      <c r="AC216" s="365"/>
      <c r="AD216" s="383"/>
      <c r="AE216" s="365"/>
      <c r="AF216" s="383"/>
      <c r="AG216" s="365"/>
      <c r="AH216" s="383"/>
      <c r="AI216" s="365"/>
      <c r="AJ216" s="383"/>
      <c r="AK216" s="365"/>
      <c r="AL216" s="383"/>
      <c r="AM216" s="353"/>
    </row>
    <row r="217" spans="1:39" s="352" customFormat="1">
      <c r="A217" s="364"/>
      <c r="B217" s="364"/>
      <c r="C217" s="365"/>
      <c r="D217" s="365"/>
      <c r="E217" s="365"/>
      <c r="F217" s="365"/>
      <c r="G217" s="365"/>
      <c r="H217" s="383"/>
      <c r="I217" s="365"/>
      <c r="J217" s="383"/>
      <c r="K217" s="365"/>
      <c r="L217" s="365"/>
      <c r="M217" s="365"/>
      <c r="N217" s="383"/>
      <c r="O217" s="365"/>
      <c r="P217" s="365"/>
      <c r="Q217" s="365"/>
      <c r="R217" s="383"/>
      <c r="S217" s="365"/>
      <c r="T217" s="383"/>
      <c r="U217" s="365"/>
      <c r="V217" s="383"/>
      <c r="W217" s="365"/>
      <c r="X217" s="383"/>
      <c r="Y217" s="365"/>
      <c r="Z217" s="383"/>
      <c r="AA217" s="365"/>
      <c r="AB217" s="365"/>
      <c r="AC217" s="365"/>
      <c r="AD217" s="383"/>
      <c r="AE217" s="365"/>
      <c r="AF217" s="383"/>
      <c r="AG217" s="365"/>
      <c r="AH217" s="383"/>
      <c r="AI217" s="365"/>
      <c r="AJ217" s="383"/>
      <c r="AK217" s="365"/>
      <c r="AL217" s="383"/>
      <c r="AM217" s="353"/>
    </row>
    <row r="218" spans="1:39" s="352" customFormat="1">
      <c r="A218" s="364"/>
      <c r="B218" s="364"/>
      <c r="C218" s="365"/>
      <c r="D218" s="365"/>
      <c r="E218" s="365"/>
      <c r="F218" s="365"/>
      <c r="G218" s="365"/>
      <c r="H218" s="383"/>
      <c r="I218" s="365"/>
      <c r="J218" s="383"/>
      <c r="K218" s="365"/>
      <c r="L218" s="365"/>
      <c r="M218" s="365"/>
      <c r="N218" s="383"/>
      <c r="O218" s="365"/>
      <c r="P218" s="365"/>
      <c r="Q218" s="365"/>
      <c r="R218" s="383"/>
      <c r="S218" s="365"/>
      <c r="T218" s="383"/>
      <c r="U218" s="365"/>
      <c r="V218" s="383"/>
      <c r="W218" s="365"/>
      <c r="X218" s="383"/>
      <c r="Y218" s="365"/>
      <c r="Z218" s="383"/>
      <c r="AA218" s="365"/>
      <c r="AB218" s="365"/>
      <c r="AC218" s="365"/>
      <c r="AD218" s="383"/>
      <c r="AE218" s="365"/>
      <c r="AF218" s="383"/>
      <c r="AG218" s="365"/>
      <c r="AH218" s="383"/>
      <c r="AI218" s="365"/>
      <c r="AJ218" s="383"/>
      <c r="AK218" s="365"/>
      <c r="AL218" s="383"/>
      <c r="AM218" s="353"/>
    </row>
    <row r="219" spans="1:39" s="352" customFormat="1">
      <c r="A219" s="364"/>
      <c r="B219" s="364"/>
      <c r="C219" s="365"/>
      <c r="D219" s="365"/>
      <c r="E219" s="365"/>
      <c r="F219" s="365"/>
      <c r="G219" s="365"/>
      <c r="H219" s="383"/>
      <c r="I219" s="365"/>
      <c r="J219" s="383"/>
      <c r="K219" s="365"/>
      <c r="L219" s="365"/>
      <c r="M219" s="365"/>
      <c r="N219" s="383"/>
      <c r="O219" s="365"/>
      <c r="P219" s="365"/>
      <c r="Q219" s="365"/>
      <c r="R219" s="383"/>
      <c r="S219" s="365"/>
      <c r="T219" s="383"/>
      <c r="U219" s="365"/>
      <c r="V219" s="383"/>
      <c r="W219" s="365"/>
      <c r="X219" s="383"/>
      <c r="Y219" s="365"/>
      <c r="Z219" s="383"/>
      <c r="AA219" s="365"/>
      <c r="AB219" s="365"/>
      <c r="AC219" s="365"/>
      <c r="AD219" s="383"/>
      <c r="AE219" s="365"/>
      <c r="AF219" s="383"/>
      <c r="AG219" s="365"/>
      <c r="AH219" s="383"/>
      <c r="AI219" s="365"/>
      <c r="AJ219" s="383"/>
      <c r="AK219" s="365"/>
      <c r="AL219" s="383"/>
      <c r="AM219" s="353"/>
    </row>
    <row r="220" spans="1:39" s="352" customFormat="1">
      <c r="A220" s="364"/>
      <c r="B220" s="364"/>
      <c r="C220" s="365"/>
      <c r="D220" s="365"/>
      <c r="E220" s="365"/>
      <c r="F220" s="365"/>
      <c r="G220" s="365"/>
      <c r="H220" s="383"/>
      <c r="I220" s="365"/>
      <c r="J220" s="383"/>
      <c r="K220" s="365"/>
      <c r="L220" s="365"/>
      <c r="M220" s="365"/>
      <c r="N220" s="383"/>
      <c r="O220" s="365"/>
      <c r="P220" s="365"/>
      <c r="Q220" s="365"/>
      <c r="R220" s="383"/>
      <c r="S220" s="365"/>
      <c r="T220" s="383"/>
      <c r="U220" s="365"/>
      <c r="V220" s="383"/>
      <c r="W220" s="365"/>
      <c r="X220" s="383"/>
      <c r="Y220" s="365"/>
      <c r="Z220" s="383"/>
      <c r="AA220" s="365"/>
      <c r="AB220" s="365"/>
      <c r="AC220" s="365"/>
      <c r="AD220" s="383"/>
      <c r="AE220" s="365"/>
      <c r="AF220" s="383"/>
      <c r="AG220" s="365"/>
      <c r="AH220" s="383"/>
      <c r="AI220" s="365"/>
      <c r="AJ220" s="383"/>
      <c r="AK220" s="365"/>
      <c r="AL220" s="383"/>
      <c r="AM220" s="353"/>
    </row>
    <row r="221" spans="1:39" s="352" customFormat="1">
      <c r="A221" s="364"/>
      <c r="B221" s="364"/>
      <c r="C221" s="365"/>
      <c r="D221" s="365"/>
      <c r="E221" s="365"/>
      <c r="F221" s="365"/>
      <c r="G221" s="365"/>
      <c r="H221" s="383"/>
      <c r="I221" s="365"/>
      <c r="J221" s="383"/>
      <c r="K221" s="365"/>
      <c r="L221" s="365"/>
      <c r="M221" s="365"/>
      <c r="N221" s="383"/>
      <c r="O221" s="365"/>
      <c r="P221" s="365"/>
      <c r="Q221" s="365"/>
      <c r="R221" s="383"/>
      <c r="S221" s="365"/>
      <c r="T221" s="383"/>
      <c r="U221" s="365"/>
      <c r="V221" s="383"/>
      <c r="W221" s="365"/>
      <c r="X221" s="383"/>
      <c r="Y221" s="365"/>
      <c r="Z221" s="383"/>
      <c r="AA221" s="365"/>
      <c r="AB221" s="365"/>
      <c r="AC221" s="365"/>
      <c r="AD221" s="383"/>
      <c r="AE221" s="365"/>
      <c r="AF221" s="383"/>
      <c r="AG221" s="365"/>
      <c r="AH221" s="383"/>
      <c r="AI221" s="365"/>
      <c r="AJ221" s="383"/>
      <c r="AK221" s="365"/>
      <c r="AL221" s="383"/>
      <c r="AM221" s="353"/>
    </row>
    <row r="222" spans="1:39" s="352" customFormat="1">
      <c r="A222" s="364"/>
      <c r="B222" s="364"/>
      <c r="C222" s="365"/>
      <c r="D222" s="365"/>
      <c r="E222" s="365"/>
      <c r="F222" s="365"/>
      <c r="G222" s="365"/>
      <c r="H222" s="383"/>
      <c r="I222" s="365"/>
      <c r="J222" s="383"/>
      <c r="K222" s="365"/>
      <c r="L222" s="365"/>
      <c r="M222" s="365"/>
      <c r="N222" s="383"/>
      <c r="O222" s="365"/>
      <c r="P222" s="365"/>
      <c r="Q222" s="365"/>
      <c r="R222" s="383"/>
      <c r="S222" s="365"/>
      <c r="T222" s="383"/>
      <c r="U222" s="365"/>
      <c r="V222" s="383"/>
      <c r="W222" s="365"/>
      <c r="X222" s="383"/>
      <c r="Y222" s="365"/>
      <c r="Z222" s="383"/>
      <c r="AA222" s="365"/>
      <c r="AB222" s="365"/>
      <c r="AC222" s="365"/>
      <c r="AD222" s="383"/>
      <c r="AE222" s="365"/>
      <c r="AF222" s="383"/>
      <c r="AG222" s="365"/>
      <c r="AH222" s="383"/>
      <c r="AI222" s="365"/>
      <c r="AJ222" s="383"/>
      <c r="AK222" s="365"/>
      <c r="AL222" s="383"/>
      <c r="AM222" s="353"/>
    </row>
    <row r="223" spans="1:39" s="352" customFormat="1">
      <c r="A223" s="364"/>
      <c r="B223" s="364"/>
      <c r="C223" s="365"/>
      <c r="D223" s="365"/>
      <c r="E223" s="365"/>
      <c r="F223" s="365"/>
      <c r="G223" s="365"/>
      <c r="H223" s="383"/>
      <c r="I223" s="365"/>
      <c r="J223" s="383"/>
      <c r="K223" s="365"/>
      <c r="L223" s="365"/>
      <c r="M223" s="365"/>
      <c r="N223" s="383"/>
      <c r="O223" s="365"/>
      <c r="P223" s="365"/>
      <c r="Q223" s="365"/>
      <c r="R223" s="383"/>
      <c r="S223" s="365"/>
      <c r="T223" s="383"/>
      <c r="U223" s="365"/>
      <c r="V223" s="383"/>
      <c r="W223" s="365"/>
      <c r="X223" s="383"/>
      <c r="Y223" s="365"/>
      <c r="Z223" s="383"/>
      <c r="AA223" s="365"/>
      <c r="AB223" s="365"/>
      <c r="AC223" s="365"/>
      <c r="AD223" s="383"/>
      <c r="AE223" s="365"/>
      <c r="AF223" s="383"/>
      <c r="AG223" s="365"/>
      <c r="AH223" s="383"/>
      <c r="AI223" s="365"/>
      <c r="AJ223" s="383"/>
      <c r="AK223" s="365"/>
      <c r="AL223" s="383"/>
      <c r="AM223" s="353"/>
    </row>
    <row r="224" spans="1:39" s="352" customFormat="1">
      <c r="A224" s="364"/>
      <c r="B224" s="364"/>
      <c r="C224" s="365"/>
      <c r="D224" s="365"/>
      <c r="E224" s="365"/>
      <c r="F224" s="365"/>
      <c r="G224" s="365"/>
      <c r="H224" s="383"/>
      <c r="I224" s="365"/>
      <c r="J224" s="383"/>
      <c r="K224" s="365"/>
      <c r="L224" s="365"/>
      <c r="M224" s="365"/>
      <c r="N224" s="383"/>
      <c r="O224" s="365"/>
      <c r="P224" s="365"/>
      <c r="Q224" s="365"/>
      <c r="R224" s="383"/>
      <c r="S224" s="365"/>
      <c r="T224" s="383"/>
      <c r="U224" s="365"/>
      <c r="V224" s="383"/>
      <c r="W224" s="365"/>
      <c r="X224" s="383"/>
      <c r="Y224" s="365"/>
      <c r="Z224" s="383"/>
      <c r="AA224" s="365"/>
      <c r="AB224" s="365"/>
      <c r="AC224" s="365"/>
      <c r="AD224" s="383"/>
      <c r="AE224" s="365"/>
      <c r="AF224" s="383"/>
      <c r="AG224" s="365"/>
      <c r="AH224" s="383"/>
      <c r="AI224" s="365"/>
      <c r="AJ224" s="383"/>
      <c r="AK224" s="365"/>
      <c r="AL224" s="383"/>
      <c r="AM224" s="353"/>
    </row>
    <row r="225" spans="1:39" s="352" customFormat="1">
      <c r="A225" s="364"/>
      <c r="B225" s="364"/>
      <c r="C225" s="365"/>
      <c r="D225" s="365"/>
      <c r="E225" s="365"/>
      <c r="F225" s="365"/>
      <c r="G225" s="365"/>
      <c r="H225" s="383"/>
      <c r="I225" s="365"/>
      <c r="J225" s="383"/>
      <c r="K225" s="365"/>
      <c r="L225" s="365"/>
      <c r="M225" s="365"/>
      <c r="N225" s="383"/>
      <c r="O225" s="365"/>
      <c r="P225" s="365"/>
      <c r="Q225" s="365"/>
      <c r="R225" s="383"/>
      <c r="S225" s="365"/>
      <c r="T225" s="383"/>
      <c r="U225" s="365"/>
      <c r="V225" s="383"/>
      <c r="W225" s="365"/>
      <c r="X225" s="383"/>
      <c r="Y225" s="365"/>
      <c r="Z225" s="383"/>
      <c r="AA225" s="365"/>
      <c r="AB225" s="365"/>
      <c r="AC225" s="365"/>
      <c r="AD225" s="383"/>
      <c r="AE225" s="365"/>
      <c r="AF225" s="383"/>
      <c r="AG225" s="365"/>
      <c r="AH225" s="383"/>
      <c r="AI225" s="365"/>
      <c r="AJ225" s="383"/>
      <c r="AK225" s="365"/>
      <c r="AL225" s="383"/>
      <c r="AM225" s="353"/>
    </row>
    <row r="226" spans="1:39" s="352" customFormat="1">
      <c r="A226" s="364"/>
      <c r="B226" s="364"/>
      <c r="C226" s="365"/>
      <c r="D226" s="365"/>
      <c r="E226" s="365"/>
      <c r="F226" s="365"/>
      <c r="G226" s="365"/>
      <c r="H226" s="383"/>
      <c r="I226" s="365"/>
      <c r="J226" s="383"/>
      <c r="K226" s="365"/>
      <c r="L226" s="365"/>
      <c r="M226" s="365"/>
      <c r="N226" s="383"/>
      <c r="O226" s="365"/>
      <c r="P226" s="365"/>
      <c r="Q226" s="365"/>
      <c r="R226" s="383"/>
      <c r="S226" s="365"/>
      <c r="T226" s="383"/>
      <c r="U226" s="365"/>
      <c r="V226" s="383"/>
      <c r="W226" s="365"/>
      <c r="X226" s="383"/>
      <c r="Y226" s="365"/>
      <c r="Z226" s="383"/>
      <c r="AA226" s="365"/>
      <c r="AB226" s="365"/>
      <c r="AC226" s="365"/>
      <c r="AD226" s="383"/>
      <c r="AE226" s="365"/>
      <c r="AF226" s="383"/>
      <c r="AG226" s="365"/>
      <c r="AH226" s="383"/>
      <c r="AI226" s="365"/>
      <c r="AJ226" s="383"/>
      <c r="AK226" s="365"/>
      <c r="AL226" s="383"/>
      <c r="AM226" s="353"/>
    </row>
    <row r="227" spans="1:39" s="352" customFormat="1">
      <c r="A227" s="364"/>
      <c r="B227" s="364"/>
      <c r="C227" s="365"/>
      <c r="D227" s="365"/>
      <c r="E227" s="365"/>
      <c r="F227" s="365"/>
      <c r="G227" s="365"/>
      <c r="H227" s="383"/>
      <c r="I227" s="365"/>
      <c r="J227" s="383"/>
      <c r="K227" s="365"/>
      <c r="L227" s="365"/>
      <c r="M227" s="365"/>
      <c r="N227" s="383"/>
      <c r="O227" s="365"/>
      <c r="P227" s="365"/>
      <c r="Q227" s="365"/>
      <c r="R227" s="383"/>
      <c r="S227" s="365"/>
      <c r="T227" s="383"/>
      <c r="U227" s="365"/>
      <c r="V227" s="383"/>
      <c r="W227" s="365"/>
      <c r="X227" s="383"/>
      <c r="Y227" s="365"/>
      <c r="Z227" s="383"/>
      <c r="AA227" s="365"/>
      <c r="AB227" s="365"/>
      <c r="AC227" s="365"/>
      <c r="AD227" s="383"/>
      <c r="AE227" s="365"/>
      <c r="AF227" s="383"/>
      <c r="AG227" s="365"/>
      <c r="AH227" s="383"/>
      <c r="AI227" s="365"/>
      <c r="AJ227" s="383"/>
      <c r="AK227" s="365"/>
      <c r="AL227" s="383"/>
      <c r="AM227" s="353"/>
    </row>
    <row r="228" spans="1:39" s="352" customFormat="1">
      <c r="A228" s="364"/>
      <c r="B228" s="364"/>
      <c r="C228" s="365"/>
      <c r="D228" s="365"/>
      <c r="E228" s="365"/>
      <c r="F228" s="365"/>
      <c r="G228" s="365"/>
      <c r="H228" s="383"/>
      <c r="I228" s="365"/>
      <c r="J228" s="383"/>
      <c r="K228" s="365"/>
      <c r="L228" s="365"/>
      <c r="M228" s="365"/>
      <c r="N228" s="383"/>
      <c r="O228" s="365"/>
      <c r="P228" s="365"/>
      <c r="Q228" s="365"/>
      <c r="R228" s="383"/>
      <c r="S228" s="365"/>
      <c r="T228" s="383"/>
      <c r="U228" s="365"/>
      <c r="V228" s="383"/>
      <c r="W228" s="365"/>
      <c r="X228" s="383"/>
      <c r="Y228" s="365"/>
      <c r="Z228" s="383"/>
      <c r="AA228" s="365"/>
      <c r="AB228" s="365"/>
      <c r="AC228" s="365"/>
      <c r="AD228" s="383"/>
      <c r="AE228" s="365"/>
      <c r="AF228" s="383"/>
      <c r="AG228" s="365"/>
      <c r="AH228" s="383"/>
      <c r="AI228" s="365"/>
      <c r="AJ228" s="383"/>
      <c r="AK228" s="365"/>
      <c r="AL228" s="383"/>
      <c r="AM228" s="353"/>
    </row>
    <row r="229" spans="1:39" s="352" customFormat="1">
      <c r="A229" s="364"/>
      <c r="B229" s="364"/>
      <c r="C229" s="365"/>
      <c r="D229" s="365"/>
      <c r="E229" s="365"/>
      <c r="F229" s="365"/>
      <c r="G229" s="365"/>
      <c r="H229" s="383"/>
      <c r="I229" s="365"/>
      <c r="J229" s="383"/>
      <c r="K229" s="365"/>
      <c r="L229" s="365"/>
      <c r="M229" s="365"/>
      <c r="N229" s="383"/>
      <c r="O229" s="365"/>
      <c r="P229" s="365"/>
      <c r="Q229" s="365"/>
      <c r="R229" s="383"/>
      <c r="S229" s="365"/>
      <c r="T229" s="383"/>
      <c r="U229" s="365"/>
      <c r="V229" s="383"/>
      <c r="W229" s="365"/>
      <c r="X229" s="383"/>
      <c r="Y229" s="365"/>
      <c r="Z229" s="383"/>
      <c r="AA229" s="365"/>
      <c r="AB229" s="365"/>
      <c r="AC229" s="365"/>
      <c r="AD229" s="383"/>
      <c r="AE229" s="365"/>
      <c r="AF229" s="383"/>
      <c r="AG229" s="365"/>
      <c r="AH229" s="383"/>
      <c r="AI229" s="365"/>
      <c r="AJ229" s="383"/>
      <c r="AK229" s="365"/>
      <c r="AL229" s="383"/>
      <c r="AM229" s="353"/>
    </row>
    <row r="230" spans="1:39" s="352" customFormat="1">
      <c r="A230" s="364"/>
      <c r="B230" s="364"/>
      <c r="C230" s="365"/>
      <c r="D230" s="365"/>
      <c r="E230" s="365"/>
      <c r="F230" s="365"/>
      <c r="G230" s="365"/>
      <c r="H230" s="383"/>
      <c r="I230" s="365"/>
      <c r="J230" s="383"/>
      <c r="K230" s="365"/>
      <c r="L230" s="365"/>
      <c r="M230" s="365"/>
      <c r="N230" s="383"/>
      <c r="O230" s="365"/>
      <c r="P230" s="365"/>
      <c r="Q230" s="365"/>
      <c r="R230" s="383"/>
      <c r="S230" s="365"/>
      <c r="T230" s="383"/>
      <c r="U230" s="365"/>
      <c r="V230" s="383"/>
      <c r="W230" s="365"/>
      <c r="X230" s="383"/>
      <c r="Y230" s="365"/>
      <c r="Z230" s="383"/>
      <c r="AA230" s="365"/>
      <c r="AB230" s="365"/>
      <c r="AC230" s="365"/>
      <c r="AD230" s="383"/>
      <c r="AE230" s="365"/>
      <c r="AF230" s="383"/>
      <c r="AG230" s="365"/>
      <c r="AH230" s="383"/>
      <c r="AI230" s="365"/>
      <c r="AJ230" s="383"/>
      <c r="AK230" s="365"/>
      <c r="AL230" s="383"/>
      <c r="AM230" s="353"/>
    </row>
    <row r="231" spans="1:39" s="352" customFormat="1">
      <c r="A231" s="364"/>
      <c r="B231" s="364"/>
      <c r="C231" s="365"/>
      <c r="D231" s="365"/>
      <c r="E231" s="365"/>
      <c r="F231" s="365"/>
      <c r="G231" s="365"/>
      <c r="H231" s="383"/>
      <c r="I231" s="365"/>
      <c r="J231" s="383"/>
      <c r="K231" s="365"/>
      <c r="L231" s="365"/>
      <c r="M231" s="365"/>
      <c r="N231" s="383"/>
      <c r="O231" s="365"/>
      <c r="P231" s="365"/>
      <c r="Q231" s="365"/>
      <c r="R231" s="383"/>
      <c r="S231" s="365"/>
      <c r="T231" s="383"/>
      <c r="U231" s="365"/>
      <c r="V231" s="383"/>
      <c r="W231" s="365"/>
      <c r="X231" s="383"/>
      <c r="Y231" s="365"/>
      <c r="Z231" s="383"/>
      <c r="AA231" s="365"/>
      <c r="AB231" s="365"/>
      <c r="AC231" s="365"/>
      <c r="AD231" s="383"/>
      <c r="AE231" s="365"/>
      <c r="AF231" s="383"/>
      <c r="AG231" s="365"/>
      <c r="AH231" s="383"/>
      <c r="AI231" s="365"/>
      <c r="AJ231" s="383"/>
      <c r="AK231" s="365"/>
      <c r="AL231" s="383"/>
      <c r="AM231" s="353"/>
    </row>
    <row r="232" spans="1:39" s="352" customFormat="1">
      <c r="A232" s="364"/>
      <c r="B232" s="364"/>
      <c r="C232" s="365"/>
      <c r="D232" s="365"/>
      <c r="E232" s="365"/>
      <c r="F232" s="365"/>
      <c r="G232" s="365"/>
      <c r="H232" s="383"/>
      <c r="I232" s="365"/>
      <c r="J232" s="383"/>
      <c r="K232" s="365"/>
      <c r="L232" s="365"/>
      <c r="M232" s="365"/>
      <c r="N232" s="383"/>
      <c r="O232" s="365"/>
      <c r="P232" s="365"/>
      <c r="Q232" s="365"/>
      <c r="R232" s="383"/>
      <c r="S232" s="365"/>
      <c r="T232" s="383"/>
      <c r="U232" s="365"/>
      <c r="V232" s="383"/>
      <c r="W232" s="365"/>
      <c r="X232" s="383"/>
      <c r="Y232" s="365"/>
      <c r="Z232" s="383"/>
      <c r="AA232" s="365"/>
      <c r="AB232" s="365"/>
      <c r="AC232" s="365"/>
      <c r="AD232" s="383"/>
      <c r="AE232" s="365"/>
      <c r="AF232" s="383"/>
      <c r="AG232" s="365"/>
      <c r="AH232" s="383"/>
      <c r="AI232" s="365"/>
      <c r="AJ232" s="383"/>
      <c r="AK232" s="365"/>
      <c r="AL232" s="383"/>
      <c r="AM232" s="353"/>
    </row>
    <row r="233" spans="1:39" s="352" customFormat="1">
      <c r="A233" s="364"/>
      <c r="B233" s="364"/>
      <c r="C233" s="365"/>
      <c r="D233" s="365"/>
      <c r="E233" s="365"/>
      <c r="F233" s="365"/>
      <c r="G233" s="365"/>
      <c r="H233" s="383"/>
      <c r="I233" s="365"/>
      <c r="J233" s="383"/>
      <c r="K233" s="365"/>
      <c r="L233" s="365"/>
      <c r="M233" s="365"/>
      <c r="N233" s="383"/>
      <c r="O233" s="365"/>
      <c r="P233" s="365"/>
      <c r="Q233" s="365"/>
      <c r="R233" s="383"/>
      <c r="S233" s="365"/>
      <c r="T233" s="383"/>
      <c r="U233" s="365"/>
      <c r="V233" s="383"/>
      <c r="W233" s="365"/>
      <c r="X233" s="383"/>
      <c r="Y233" s="365"/>
      <c r="Z233" s="383"/>
      <c r="AA233" s="365"/>
      <c r="AB233" s="365"/>
      <c r="AC233" s="365"/>
      <c r="AD233" s="383"/>
      <c r="AE233" s="365"/>
      <c r="AF233" s="383"/>
      <c r="AG233" s="365"/>
      <c r="AH233" s="383"/>
      <c r="AI233" s="365"/>
      <c r="AJ233" s="383"/>
      <c r="AK233" s="365"/>
      <c r="AL233" s="383"/>
      <c r="AM233" s="353"/>
    </row>
    <row r="234" spans="1:39" s="352" customFormat="1">
      <c r="A234" s="364"/>
      <c r="B234" s="364"/>
      <c r="C234" s="365"/>
      <c r="D234" s="365"/>
      <c r="E234" s="365"/>
      <c r="F234" s="365"/>
      <c r="G234" s="365"/>
      <c r="H234" s="383"/>
      <c r="I234" s="365"/>
      <c r="J234" s="383"/>
      <c r="K234" s="365"/>
      <c r="L234" s="365"/>
      <c r="M234" s="365"/>
      <c r="N234" s="383"/>
      <c r="O234" s="365"/>
      <c r="P234" s="365"/>
      <c r="Q234" s="365"/>
      <c r="R234" s="383"/>
      <c r="S234" s="365"/>
      <c r="T234" s="383"/>
      <c r="U234" s="365"/>
      <c r="V234" s="383"/>
      <c r="W234" s="365"/>
      <c r="X234" s="383"/>
      <c r="Y234" s="365"/>
      <c r="Z234" s="383"/>
      <c r="AA234" s="365"/>
      <c r="AB234" s="365"/>
      <c r="AC234" s="365"/>
      <c r="AD234" s="383"/>
      <c r="AE234" s="365"/>
      <c r="AF234" s="383"/>
      <c r="AG234" s="365"/>
      <c r="AH234" s="383"/>
      <c r="AI234" s="365"/>
      <c r="AJ234" s="383"/>
      <c r="AK234" s="365"/>
      <c r="AL234" s="383"/>
      <c r="AM234" s="353"/>
    </row>
    <row r="235" spans="1:39" s="352" customFormat="1">
      <c r="A235" s="364"/>
      <c r="B235" s="364"/>
      <c r="C235" s="365"/>
      <c r="D235" s="365"/>
      <c r="E235" s="365"/>
      <c r="F235" s="365"/>
      <c r="G235" s="365"/>
      <c r="H235" s="383"/>
      <c r="I235" s="365"/>
      <c r="J235" s="383"/>
      <c r="K235" s="365"/>
      <c r="L235" s="365"/>
      <c r="M235" s="365"/>
      <c r="N235" s="383"/>
      <c r="O235" s="365"/>
      <c r="P235" s="365"/>
      <c r="Q235" s="365"/>
      <c r="R235" s="383"/>
      <c r="S235" s="365"/>
      <c r="T235" s="383"/>
      <c r="U235" s="365"/>
      <c r="V235" s="383"/>
      <c r="W235" s="365"/>
      <c r="X235" s="383"/>
      <c r="Y235" s="365"/>
      <c r="Z235" s="383"/>
      <c r="AA235" s="365"/>
      <c r="AB235" s="365"/>
      <c r="AC235" s="365"/>
      <c r="AD235" s="383"/>
      <c r="AE235" s="365"/>
      <c r="AF235" s="383"/>
      <c r="AG235" s="365"/>
      <c r="AH235" s="383"/>
      <c r="AI235" s="365"/>
      <c r="AJ235" s="383"/>
      <c r="AK235" s="365"/>
      <c r="AL235" s="383"/>
      <c r="AM235" s="353"/>
    </row>
    <row r="236" spans="1:39" s="352" customFormat="1">
      <c r="A236" s="364"/>
      <c r="B236" s="364"/>
      <c r="C236" s="365"/>
      <c r="D236" s="365"/>
      <c r="E236" s="365"/>
      <c r="F236" s="365"/>
      <c r="G236" s="365"/>
      <c r="H236" s="383"/>
      <c r="I236" s="365"/>
      <c r="J236" s="383"/>
      <c r="K236" s="365"/>
      <c r="L236" s="365"/>
      <c r="M236" s="365"/>
      <c r="N236" s="383"/>
      <c r="O236" s="365"/>
      <c r="P236" s="365"/>
      <c r="Q236" s="365"/>
      <c r="R236" s="383"/>
      <c r="S236" s="365"/>
      <c r="T236" s="383"/>
      <c r="U236" s="365"/>
      <c r="V236" s="383"/>
      <c r="W236" s="365"/>
      <c r="X236" s="383"/>
      <c r="Y236" s="365"/>
      <c r="Z236" s="383"/>
      <c r="AA236" s="365"/>
      <c r="AB236" s="365"/>
      <c r="AC236" s="365"/>
      <c r="AD236" s="383"/>
      <c r="AE236" s="365"/>
      <c r="AF236" s="383"/>
      <c r="AG236" s="365"/>
      <c r="AH236" s="383"/>
      <c r="AI236" s="365"/>
      <c r="AJ236" s="383"/>
      <c r="AK236" s="365"/>
      <c r="AL236" s="383"/>
      <c r="AM236" s="353"/>
    </row>
    <row r="237" spans="1:39" s="352" customFormat="1">
      <c r="A237" s="364"/>
      <c r="B237" s="364"/>
      <c r="C237" s="365"/>
      <c r="D237" s="365"/>
      <c r="E237" s="365"/>
      <c r="F237" s="365"/>
      <c r="G237" s="365"/>
      <c r="H237" s="383"/>
      <c r="I237" s="365"/>
      <c r="J237" s="383"/>
      <c r="K237" s="365"/>
      <c r="L237" s="365"/>
      <c r="M237" s="365"/>
      <c r="N237" s="383"/>
      <c r="O237" s="365"/>
      <c r="P237" s="365"/>
      <c r="Q237" s="365"/>
      <c r="R237" s="383"/>
      <c r="S237" s="365"/>
      <c r="T237" s="383"/>
      <c r="U237" s="365"/>
      <c r="V237" s="383"/>
      <c r="W237" s="365"/>
      <c r="X237" s="383"/>
      <c r="Y237" s="365"/>
      <c r="Z237" s="383"/>
      <c r="AA237" s="365"/>
      <c r="AB237" s="365"/>
      <c r="AC237" s="365"/>
      <c r="AD237" s="383"/>
      <c r="AE237" s="365"/>
      <c r="AF237" s="383"/>
      <c r="AG237" s="365"/>
      <c r="AH237" s="383"/>
      <c r="AI237" s="365"/>
      <c r="AJ237" s="383"/>
      <c r="AK237" s="365"/>
      <c r="AL237" s="383"/>
      <c r="AM237" s="353"/>
    </row>
    <row r="238" spans="1:39" s="352" customFormat="1">
      <c r="A238" s="364"/>
      <c r="B238" s="364"/>
      <c r="C238" s="365"/>
      <c r="D238" s="365"/>
      <c r="E238" s="365"/>
      <c r="F238" s="365"/>
      <c r="G238" s="365"/>
      <c r="H238" s="383"/>
      <c r="I238" s="365"/>
      <c r="J238" s="383"/>
      <c r="K238" s="365"/>
      <c r="L238" s="365"/>
      <c r="M238" s="365"/>
      <c r="N238" s="383"/>
      <c r="O238" s="365"/>
      <c r="P238" s="365"/>
      <c r="Q238" s="365"/>
      <c r="R238" s="383"/>
      <c r="S238" s="365"/>
      <c r="T238" s="383"/>
      <c r="U238" s="365"/>
      <c r="V238" s="383"/>
      <c r="W238" s="365"/>
      <c r="X238" s="383"/>
      <c r="Y238" s="365"/>
      <c r="Z238" s="383"/>
      <c r="AA238" s="365"/>
      <c r="AB238" s="365"/>
      <c r="AC238" s="365"/>
      <c r="AD238" s="383"/>
      <c r="AE238" s="365"/>
      <c r="AF238" s="383"/>
      <c r="AG238" s="365"/>
      <c r="AH238" s="383"/>
      <c r="AI238" s="365"/>
      <c r="AJ238" s="383"/>
      <c r="AK238" s="365"/>
      <c r="AL238" s="383"/>
      <c r="AM238" s="353"/>
    </row>
    <row r="239" spans="1:39" s="352" customFormat="1">
      <c r="A239" s="364"/>
      <c r="B239" s="364"/>
      <c r="C239" s="365"/>
      <c r="D239" s="365"/>
      <c r="E239" s="365"/>
      <c r="F239" s="365"/>
      <c r="G239" s="365"/>
      <c r="H239" s="383"/>
      <c r="I239" s="365"/>
      <c r="J239" s="383"/>
      <c r="K239" s="365"/>
      <c r="L239" s="365"/>
      <c r="M239" s="365"/>
      <c r="N239" s="383"/>
      <c r="O239" s="365"/>
      <c r="P239" s="365"/>
      <c r="Q239" s="365"/>
      <c r="R239" s="383"/>
      <c r="S239" s="365"/>
      <c r="T239" s="383"/>
      <c r="U239" s="365"/>
      <c r="V239" s="383"/>
      <c r="W239" s="365"/>
      <c r="X239" s="383"/>
      <c r="Y239" s="365"/>
      <c r="Z239" s="383"/>
      <c r="AA239" s="365"/>
      <c r="AB239" s="365"/>
      <c r="AC239" s="365"/>
      <c r="AD239" s="383"/>
      <c r="AE239" s="365"/>
      <c r="AF239" s="383"/>
      <c r="AG239" s="365"/>
      <c r="AH239" s="383"/>
      <c r="AI239" s="365"/>
      <c r="AJ239" s="383"/>
      <c r="AK239" s="365"/>
      <c r="AL239" s="383"/>
      <c r="AM239" s="353"/>
    </row>
    <row r="240" spans="1:39" s="352" customFormat="1">
      <c r="A240" s="364"/>
      <c r="B240" s="364"/>
      <c r="C240" s="365"/>
      <c r="D240" s="365"/>
      <c r="E240" s="365"/>
      <c r="F240" s="365"/>
      <c r="G240" s="365"/>
      <c r="H240" s="383"/>
      <c r="I240" s="365"/>
      <c r="J240" s="383"/>
      <c r="K240" s="365"/>
      <c r="L240" s="365"/>
      <c r="M240" s="365"/>
      <c r="N240" s="383"/>
      <c r="O240" s="365"/>
      <c r="P240" s="365"/>
      <c r="Q240" s="365"/>
      <c r="R240" s="383"/>
      <c r="S240" s="365"/>
      <c r="T240" s="383"/>
      <c r="U240" s="365"/>
      <c r="V240" s="383"/>
      <c r="W240" s="365"/>
      <c r="X240" s="383"/>
      <c r="Y240" s="365"/>
      <c r="Z240" s="383"/>
      <c r="AA240" s="365"/>
      <c r="AB240" s="365"/>
      <c r="AC240" s="365"/>
      <c r="AD240" s="383"/>
      <c r="AE240" s="365"/>
      <c r="AF240" s="383"/>
      <c r="AG240" s="365"/>
      <c r="AH240" s="383"/>
      <c r="AI240" s="365"/>
      <c r="AJ240" s="383"/>
      <c r="AK240" s="365"/>
      <c r="AL240" s="383"/>
      <c r="AM240" s="353"/>
    </row>
    <row r="241" spans="1:39" s="352" customFormat="1">
      <c r="A241" s="364"/>
      <c r="B241" s="364"/>
      <c r="C241" s="365"/>
      <c r="D241" s="365"/>
      <c r="E241" s="365"/>
      <c r="F241" s="365"/>
      <c r="G241" s="365"/>
      <c r="H241" s="383"/>
      <c r="I241" s="365"/>
      <c r="J241" s="383"/>
      <c r="K241" s="365"/>
      <c r="L241" s="365"/>
      <c r="M241" s="365"/>
      <c r="N241" s="383"/>
      <c r="O241" s="365"/>
      <c r="P241" s="365"/>
      <c r="Q241" s="365"/>
      <c r="R241" s="383"/>
      <c r="S241" s="365"/>
      <c r="T241" s="383"/>
      <c r="U241" s="365"/>
      <c r="V241" s="383"/>
      <c r="W241" s="365"/>
      <c r="X241" s="383"/>
      <c r="Y241" s="365"/>
      <c r="Z241" s="383"/>
      <c r="AA241" s="365"/>
      <c r="AB241" s="365"/>
      <c r="AC241" s="365"/>
      <c r="AD241" s="383"/>
      <c r="AE241" s="365"/>
      <c r="AF241" s="383"/>
      <c r="AG241" s="365"/>
      <c r="AH241" s="383"/>
      <c r="AI241" s="365"/>
      <c r="AJ241" s="383"/>
      <c r="AK241" s="365"/>
      <c r="AL241" s="383"/>
      <c r="AM241" s="353"/>
    </row>
    <row r="242" spans="1:39" s="352" customFormat="1">
      <c r="A242" s="364"/>
      <c r="B242" s="364"/>
      <c r="C242" s="365"/>
      <c r="D242" s="365"/>
      <c r="E242" s="365"/>
      <c r="F242" s="365"/>
      <c r="G242" s="365"/>
      <c r="H242" s="383"/>
      <c r="I242" s="365"/>
      <c r="J242" s="383"/>
      <c r="K242" s="365"/>
      <c r="L242" s="365"/>
      <c r="M242" s="365"/>
      <c r="N242" s="383"/>
      <c r="O242" s="365"/>
      <c r="P242" s="365"/>
      <c r="Q242" s="365"/>
      <c r="R242" s="383"/>
      <c r="S242" s="365"/>
      <c r="T242" s="383"/>
      <c r="U242" s="365"/>
      <c r="V242" s="383"/>
      <c r="W242" s="365"/>
      <c r="X242" s="383"/>
      <c r="Y242" s="365"/>
      <c r="Z242" s="383"/>
      <c r="AA242" s="365"/>
      <c r="AB242" s="365"/>
      <c r="AC242" s="365"/>
      <c r="AD242" s="383"/>
      <c r="AE242" s="365"/>
      <c r="AF242" s="383"/>
      <c r="AG242" s="365"/>
      <c r="AH242" s="383"/>
      <c r="AI242" s="365"/>
      <c r="AJ242" s="383"/>
      <c r="AK242" s="365"/>
      <c r="AL242" s="383"/>
      <c r="AM242" s="353"/>
    </row>
    <row r="243" spans="1:39" s="352" customFormat="1">
      <c r="A243" s="364"/>
      <c r="B243" s="364"/>
      <c r="C243" s="365"/>
      <c r="D243" s="365"/>
      <c r="E243" s="365"/>
      <c r="F243" s="365"/>
      <c r="G243" s="365"/>
      <c r="H243" s="383"/>
      <c r="I243" s="365"/>
      <c r="J243" s="383"/>
      <c r="K243" s="365"/>
      <c r="L243" s="365"/>
      <c r="M243" s="365"/>
      <c r="N243" s="383"/>
      <c r="O243" s="365"/>
      <c r="P243" s="365"/>
      <c r="Q243" s="365"/>
      <c r="R243" s="383"/>
      <c r="S243" s="365"/>
      <c r="T243" s="383"/>
      <c r="U243" s="365"/>
      <c r="V243" s="383"/>
      <c r="W243" s="365"/>
      <c r="X243" s="383"/>
      <c r="Y243" s="365"/>
      <c r="Z243" s="383"/>
      <c r="AA243" s="365"/>
      <c r="AB243" s="365"/>
      <c r="AC243" s="365"/>
      <c r="AD243" s="383"/>
      <c r="AE243" s="365"/>
      <c r="AF243" s="383"/>
      <c r="AG243" s="365"/>
      <c r="AH243" s="383"/>
      <c r="AI243" s="365"/>
      <c r="AJ243" s="383"/>
      <c r="AK243" s="365"/>
      <c r="AL243" s="383"/>
      <c r="AM243" s="353"/>
    </row>
    <row r="244" spans="1:39" s="352" customFormat="1">
      <c r="A244" s="364"/>
      <c r="B244" s="364"/>
      <c r="C244" s="365"/>
      <c r="D244" s="365"/>
      <c r="E244" s="365"/>
      <c r="F244" s="365"/>
      <c r="G244" s="365"/>
      <c r="H244" s="383"/>
      <c r="I244" s="365"/>
      <c r="J244" s="383"/>
      <c r="K244" s="365"/>
      <c r="L244" s="365"/>
      <c r="M244" s="365"/>
      <c r="N244" s="383"/>
      <c r="O244" s="365"/>
      <c r="P244" s="365"/>
      <c r="Q244" s="365"/>
      <c r="R244" s="383"/>
      <c r="S244" s="365"/>
      <c r="T244" s="383"/>
      <c r="U244" s="365"/>
      <c r="V244" s="383"/>
      <c r="W244" s="365"/>
      <c r="X244" s="383"/>
      <c r="Y244" s="365"/>
      <c r="Z244" s="383"/>
      <c r="AA244" s="365"/>
      <c r="AB244" s="365"/>
      <c r="AC244" s="365"/>
      <c r="AD244" s="383"/>
      <c r="AE244" s="365"/>
      <c r="AF244" s="383"/>
      <c r="AG244" s="365"/>
      <c r="AH244" s="383"/>
      <c r="AI244" s="365"/>
      <c r="AJ244" s="383"/>
      <c r="AK244" s="365"/>
      <c r="AL244" s="383"/>
      <c r="AM244" s="353"/>
    </row>
    <row r="245" spans="1:39" s="352" customFormat="1">
      <c r="A245" s="364"/>
      <c r="B245" s="364"/>
      <c r="C245" s="365"/>
      <c r="D245" s="365"/>
      <c r="E245" s="365"/>
      <c r="F245" s="365"/>
      <c r="G245" s="365"/>
      <c r="H245" s="383"/>
      <c r="I245" s="365"/>
      <c r="J245" s="383"/>
      <c r="K245" s="365"/>
      <c r="L245" s="365"/>
      <c r="M245" s="365"/>
      <c r="N245" s="383"/>
      <c r="O245" s="365"/>
      <c r="P245" s="365"/>
      <c r="Q245" s="365"/>
      <c r="R245" s="383"/>
      <c r="S245" s="365"/>
      <c r="T245" s="383"/>
      <c r="U245" s="365"/>
      <c r="V245" s="383"/>
      <c r="W245" s="365"/>
      <c r="X245" s="383"/>
      <c r="Y245" s="365"/>
      <c r="Z245" s="383"/>
      <c r="AA245" s="365"/>
      <c r="AB245" s="365"/>
      <c r="AC245" s="365"/>
      <c r="AD245" s="383"/>
      <c r="AE245" s="365"/>
      <c r="AF245" s="383"/>
      <c r="AG245" s="365"/>
      <c r="AH245" s="383"/>
      <c r="AI245" s="365"/>
      <c r="AJ245" s="383"/>
      <c r="AK245" s="365"/>
      <c r="AL245" s="383"/>
      <c r="AM245" s="353"/>
    </row>
    <row r="246" spans="1:39" s="352" customFormat="1">
      <c r="A246" s="364"/>
      <c r="B246" s="364"/>
      <c r="C246" s="365"/>
      <c r="D246" s="365"/>
      <c r="E246" s="365"/>
      <c r="F246" s="365"/>
      <c r="G246" s="365"/>
      <c r="H246" s="383"/>
      <c r="I246" s="365"/>
      <c r="J246" s="383"/>
      <c r="K246" s="365"/>
      <c r="L246" s="365"/>
      <c r="M246" s="365"/>
      <c r="N246" s="383"/>
      <c r="O246" s="365"/>
      <c r="P246" s="365"/>
      <c r="Q246" s="365"/>
      <c r="R246" s="383"/>
      <c r="S246" s="365"/>
      <c r="T246" s="383"/>
      <c r="U246" s="365"/>
      <c r="V246" s="383"/>
      <c r="W246" s="365"/>
      <c r="X246" s="383"/>
      <c r="Y246" s="365"/>
      <c r="Z246" s="383"/>
      <c r="AA246" s="365"/>
      <c r="AB246" s="365"/>
      <c r="AC246" s="365"/>
      <c r="AD246" s="383"/>
      <c r="AE246" s="365"/>
      <c r="AF246" s="383"/>
      <c r="AG246" s="365"/>
      <c r="AH246" s="383"/>
      <c r="AI246" s="365"/>
      <c r="AJ246" s="383"/>
      <c r="AK246" s="365"/>
      <c r="AL246" s="383"/>
      <c r="AM246" s="353"/>
    </row>
    <row r="247" spans="1:39" s="352" customFormat="1">
      <c r="A247" s="364"/>
      <c r="B247" s="364"/>
      <c r="C247" s="365"/>
      <c r="D247" s="365"/>
      <c r="E247" s="365"/>
      <c r="F247" s="365"/>
      <c r="G247" s="365"/>
      <c r="H247" s="383"/>
      <c r="I247" s="365"/>
      <c r="J247" s="383"/>
      <c r="K247" s="365"/>
      <c r="L247" s="365"/>
      <c r="M247" s="365"/>
      <c r="N247" s="383"/>
      <c r="O247" s="365"/>
      <c r="P247" s="365"/>
      <c r="Q247" s="365"/>
      <c r="R247" s="383"/>
      <c r="S247" s="365"/>
      <c r="T247" s="383"/>
      <c r="U247" s="365"/>
      <c r="V247" s="383"/>
      <c r="W247" s="365"/>
      <c r="X247" s="383"/>
      <c r="Y247" s="365"/>
      <c r="Z247" s="383"/>
      <c r="AA247" s="365"/>
      <c r="AB247" s="365"/>
      <c r="AC247" s="365"/>
      <c r="AD247" s="383"/>
      <c r="AE247" s="365"/>
      <c r="AF247" s="383"/>
      <c r="AG247" s="365"/>
      <c r="AH247" s="383"/>
      <c r="AI247" s="365"/>
      <c r="AJ247" s="383"/>
      <c r="AK247" s="365"/>
      <c r="AL247" s="383"/>
      <c r="AM247" s="353"/>
    </row>
    <row r="248" spans="1:39" s="352" customFormat="1">
      <c r="A248" s="364"/>
      <c r="B248" s="364"/>
      <c r="C248" s="365"/>
      <c r="D248" s="365"/>
      <c r="E248" s="365"/>
      <c r="F248" s="365"/>
      <c r="G248" s="365"/>
      <c r="H248" s="383"/>
      <c r="I248" s="365"/>
      <c r="J248" s="383"/>
      <c r="K248" s="365"/>
      <c r="L248" s="365"/>
      <c r="M248" s="365"/>
      <c r="N248" s="383"/>
      <c r="O248" s="365"/>
      <c r="P248" s="365"/>
      <c r="Q248" s="365"/>
      <c r="R248" s="383"/>
      <c r="S248" s="365"/>
      <c r="T248" s="383"/>
      <c r="U248" s="365"/>
      <c r="V248" s="383"/>
      <c r="W248" s="365"/>
      <c r="X248" s="383"/>
      <c r="Y248" s="365"/>
      <c r="Z248" s="383"/>
      <c r="AA248" s="365"/>
      <c r="AB248" s="365"/>
      <c r="AC248" s="365"/>
      <c r="AD248" s="383"/>
      <c r="AE248" s="365"/>
      <c r="AF248" s="383"/>
      <c r="AG248" s="365"/>
      <c r="AH248" s="383"/>
      <c r="AI248" s="365"/>
      <c r="AJ248" s="383"/>
      <c r="AK248" s="365"/>
      <c r="AL248" s="383"/>
      <c r="AM248" s="353"/>
    </row>
    <row r="249" spans="1:39" s="352" customFormat="1">
      <c r="A249" s="364"/>
      <c r="B249" s="364"/>
      <c r="C249" s="365"/>
      <c r="D249" s="365"/>
      <c r="E249" s="365"/>
      <c r="F249" s="365"/>
      <c r="G249" s="365"/>
      <c r="H249" s="383"/>
      <c r="I249" s="365"/>
      <c r="J249" s="383"/>
      <c r="K249" s="365"/>
      <c r="L249" s="365"/>
      <c r="M249" s="365"/>
      <c r="N249" s="383"/>
      <c r="O249" s="365"/>
      <c r="P249" s="365"/>
      <c r="Q249" s="365"/>
      <c r="R249" s="383"/>
      <c r="S249" s="365"/>
      <c r="T249" s="383"/>
      <c r="U249" s="365"/>
      <c r="V249" s="383"/>
      <c r="W249" s="365"/>
      <c r="X249" s="383"/>
      <c r="Y249" s="365"/>
      <c r="Z249" s="383"/>
      <c r="AA249" s="365"/>
      <c r="AB249" s="365"/>
      <c r="AC249" s="365"/>
      <c r="AD249" s="383"/>
      <c r="AE249" s="365"/>
      <c r="AF249" s="383"/>
      <c r="AG249" s="365"/>
      <c r="AH249" s="383"/>
      <c r="AI249" s="365"/>
      <c r="AJ249" s="383"/>
      <c r="AK249" s="365"/>
      <c r="AL249" s="383"/>
      <c r="AM249" s="353"/>
    </row>
    <row r="250" spans="1:39" s="352" customFormat="1">
      <c r="A250" s="364"/>
      <c r="B250" s="364"/>
      <c r="C250" s="365"/>
      <c r="D250" s="365"/>
      <c r="E250" s="365"/>
      <c r="F250" s="365"/>
      <c r="G250" s="365"/>
      <c r="H250" s="383"/>
      <c r="I250" s="365"/>
      <c r="J250" s="383"/>
      <c r="K250" s="365"/>
      <c r="L250" s="365"/>
      <c r="M250" s="365"/>
      <c r="N250" s="383"/>
      <c r="O250" s="365"/>
      <c r="P250" s="365"/>
      <c r="Q250" s="365"/>
      <c r="R250" s="383"/>
      <c r="S250" s="365"/>
      <c r="T250" s="383"/>
      <c r="U250" s="365"/>
      <c r="V250" s="383"/>
      <c r="W250" s="365"/>
      <c r="X250" s="383"/>
      <c r="Y250" s="365"/>
      <c r="Z250" s="383"/>
      <c r="AA250" s="365"/>
      <c r="AB250" s="365"/>
      <c r="AC250" s="365"/>
      <c r="AD250" s="383"/>
      <c r="AE250" s="365"/>
      <c r="AF250" s="383"/>
      <c r="AG250" s="365"/>
      <c r="AH250" s="383"/>
      <c r="AI250" s="365"/>
      <c r="AJ250" s="383"/>
      <c r="AK250" s="365"/>
      <c r="AL250" s="383"/>
      <c r="AM250" s="353"/>
    </row>
    <row r="251" spans="1:39" s="352" customFormat="1">
      <c r="A251" s="364"/>
      <c r="B251" s="364"/>
      <c r="C251" s="365"/>
      <c r="D251" s="365"/>
      <c r="E251" s="365"/>
      <c r="F251" s="365"/>
      <c r="G251" s="365"/>
      <c r="H251" s="383"/>
      <c r="I251" s="365"/>
      <c r="J251" s="383"/>
      <c r="K251" s="365"/>
      <c r="L251" s="365"/>
      <c r="M251" s="365"/>
      <c r="N251" s="383"/>
      <c r="O251" s="365"/>
      <c r="P251" s="365"/>
      <c r="Q251" s="365"/>
      <c r="R251" s="383"/>
      <c r="S251" s="365"/>
      <c r="T251" s="383"/>
      <c r="U251" s="365"/>
      <c r="V251" s="383"/>
      <c r="W251" s="365"/>
      <c r="X251" s="383"/>
      <c r="Y251" s="365"/>
      <c r="Z251" s="383"/>
      <c r="AA251" s="365"/>
      <c r="AB251" s="365"/>
      <c r="AC251" s="365"/>
      <c r="AD251" s="383"/>
      <c r="AE251" s="365"/>
      <c r="AF251" s="383"/>
      <c r="AG251" s="365"/>
      <c r="AH251" s="383"/>
      <c r="AI251" s="365"/>
      <c r="AJ251" s="383"/>
      <c r="AK251" s="365"/>
      <c r="AL251" s="383"/>
      <c r="AM251" s="353"/>
    </row>
    <row r="252" spans="1:39" s="352" customFormat="1">
      <c r="A252" s="364"/>
      <c r="B252" s="364"/>
      <c r="C252" s="365"/>
      <c r="D252" s="365"/>
      <c r="E252" s="365"/>
      <c r="F252" s="365"/>
      <c r="G252" s="365"/>
      <c r="H252" s="383"/>
      <c r="I252" s="365"/>
      <c r="J252" s="383"/>
      <c r="K252" s="365"/>
      <c r="L252" s="365"/>
      <c r="M252" s="365"/>
      <c r="N252" s="383"/>
      <c r="O252" s="365"/>
      <c r="P252" s="365"/>
      <c r="Q252" s="365"/>
      <c r="R252" s="383"/>
      <c r="S252" s="365"/>
      <c r="T252" s="383"/>
      <c r="U252" s="365"/>
      <c r="V252" s="383"/>
      <c r="W252" s="365"/>
      <c r="X252" s="383"/>
      <c r="Y252" s="365"/>
      <c r="Z252" s="383"/>
      <c r="AA252" s="365"/>
      <c r="AB252" s="365"/>
      <c r="AC252" s="365"/>
      <c r="AD252" s="383"/>
      <c r="AE252" s="365"/>
      <c r="AF252" s="383"/>
      <c r="AG252" s="365"/>
      <c r="AH252" s="383"/>
      <c r="AI252" s="365"/>
      <c r="AJ252" s="383"/>
      <c r="AK252" s="365"/>
      <c r="AL252" s="383"/>
      <c r="AM252" s="353"/>
    </row>
    <row r="253" spans="1:39" s="352" customFormat="1">
      <c r="A253" s="364"/>
      <c r="B253" s="364"/>
      <c r="C253" s="365"/>
      <c r="D253" s="365"/>
      <c r="E253" s="365"/>
      <c r="F253" s="365"/>
      <c r="G253" s="365"/>
      <c r="H253" s="383"/>
      <c r="I253" s="365"/>
      <c r="J253" s="383"/>
      <c r="K253" s="365"/>
      <c r="L253" s="365"/>
      <c r="M253" s="365"/>
      <c r="N253" s="383"/>
      <c r="O253" s="365"/>
      <c r="P253" s="365"/>
      <c r="Q253" s="365"/>
      <c r="R253" s="383"/>
      <c r="S253" s="365"/>
      <c r="T253" s="383"/>
      <c r="U253" s="365"/>
      <c r="V253" s="383"/>
      <c r="W253" s="365"/>
      <c r="X253" s="383"/>
      <c r="Y253" s="365"/>
      <c r="Z253" s="383"/>
      <c r="AA253" s="365"/>
      <c r="AB253" s="365"/>
      <c r="AC253" s="365"/>
      <c r="AD253" s="383"/>
      <c r="AE253" s="365"/>
      <c r="AF253" s="383"/>
      <c r="AG253" s="365"/>
      <c r="AH253" s="383"/>
      <c r="AI253" s="365"/>
      <c r="AJ253" s="383"/>
      <c r="AK253" s="365"/>
      <c r="AL253" s="383"/>
      <c r="AM253" s="353"/>
    </row>
    <row r="254" spans="1:39" s="352" customFormat="1">
      <c r="A254" s="364"/>
      <c r="B254" s="364"/>
      <c r="C254" s="365"/>
      <c r="D254" s="365"/>
      <c r="E254" s="365"/>
      <c r="F254" s="365"/>
      <c r="G254" s="365"/>
      <c r="H254" s="383"/>
      <c r="I254" s="365"/>
      <c r="J254" s="383"/>
      <c r="K254" s="365"/>
      <c r="L254" s="365"/>
      <c r="M254" s="365"/>
      <c r="N254" s="383"/>
      <c r="O254" s="365"/>
      <c r="P254" s="365"/>
      <c r="Q254" s="365"/>
      <c r="R254" s="383"/>
      <c r="S254" s="365"/>
      <c r="T254" s="383"/>
      <c r="U254" s="365"/>
      <c r="V254" s="383"/>
      <c r="W254" s="365"/>
      <c r="X254" s="383"/>
      <c r="Y254" s="365"/>
      <c r="Z254" s="383"/>
      <c r="AA254" s="365"/>
      <c r="AB254" s="365"/>
      <c r="AC254" s="365"/>
      <c r="AD254" s="383"/>
      <c r="AE254" s="365"/>
      <c r="AF254" s="383"/>
      <c r="AG254" s="365"/>
      <c r="AH254" s="383"/>
      <c r="AI254" s="365"/>
      <c r="AJ254" s="383"/>
      <c r="AK254" s="365"/>
      <c r="AL254" s="383"/>
      <c r="AM254" s="353"/>
    </row>
    <row r="255" spans="1:39" s="352" customFormat="1">
      <c r="A255" s="364"/>
      <c r="B255" s="364"/>
      <c r="C255" s="365"/>
      <c r="D255" s="365"/>
      <c r="E255" s="365"/>
      <c r="F255" s="365"/>
      <c r="G255" s="365"/>
      <c r="H255" s="383"/>
      <c r="I255" s="365"/>
      <c r="J255" s="383"/>
      <c r="K255" s="365"/>
      <c r="L255" s="365"/>
      <c r="M255" s="365"/>
      <c r="N255" s="383"/>
      <c r="O255" s="365"/>
      <c r="P255" s="365"/>
      <c r="Q255" s="365"/>
      <c r="R255" s="383"/>
      <c r="S255" s="365"/>
      <c r="T255" s="383"/>
      <c r="U255" s="365"/>
      <c r="V255" s="383"/>
      <c r="W255" s="365"/>
      <c r="X255" s="383"/>
      <c r="Y255" s="365"/>
      <c r="Z255" s="383"/>
      <c r="AA255" s="365"/>
      <c r="AB255" s="365"/>
      <c r="AC255" s="365"/>
      <c r="AD255" s="383"/>
      <c r="AE255" s="365"/>
      <c r="AF255" s="383"/>
      <c r="AG255" s="365"/>
      <c r="AH255" s="383"/>
      <c r="AI255" s="365"/>
      <c r="AJ255" s="383"/>
      <c r="AK255" s="365"/>
      <c r="AL255" s="383"/>
      <c r="AM255" s="353"/>
    </row>
    <row r="256" spans="1:39" s="352" customFormat="1">
      <c r="A256" s="364"/>
      <c r="B256" s="364"/>
      <c r="C256" s="365"/>
      <c r="D256" s="365"/>
      <c r="E256" s="365"/>
      <c r="F256" s="365"/>
      <c r="G256" s="365"/>
      <c r="H256" s="383"/>
      <c r="I256" s="365"/>
      <c r="J256" s="383"/>
      <c r="K256" s="365"/>
      <c r="L256" s="365"/>
      <c r="M256" s="365"/>
      <c r="N256" s="383"/>
      <c r="O256" s="365"/>
      <c r="P256" s="365"/>
      <c r="Q256" s="365"/>
      <c r="R256" s="383"/>
      <c r="S256" s="365"/>
      <c r="T256" s="383"/>
      <c r="U256" s="365"/>
      <c r="V256" s="383"/>
      <c r="W256" s="365"/>
      <c r="X256" s="383"/>
      <c r="Y256" s="365"/>
      <c r="Z256" s="383"/>
      <c r="AA256" s="365"/>
      <c r="AB256" s="365"/>
      <c r="AC256" s="365"/>
      <c r="AD256" s="383"/>
      <c r="AE256" s="365"/>
      <c r="AF256" s="383"/>
      <c r="AG256" s="365"/>
      <c r="AH256" s="383"/>
      <c r="AI256" s="365"/>
      <c r="AJ256" s="383"/>
      <c r="AK256" s="365"/>
      <c r="AL256" s="383"/>
      <c r="AM256" s="353"/>
    </row>
    <row r="257" spans="1:39" s="352" customFormat="1">
      <c r="A257" s="364"/>
      <c r="B257" s="364"/>
      <c r="C257" s="365"/>
      <c r="D257" s="365"/>
      <c r="E257" s="365"/>
      <c r="F257" s="365"/>
      <c r="G257" s="365"/>
      <c r="H257" s="383"/>
      <c r="I257" s="365"/>
      <c r="J257" s="383"/>
      <c r="K257" s="365"/>
      <c r="L257" s="365"/>
      <c r="M257" s="365"/>
      <c r="N257" s="383"/>
      <c r="O257" s="365"/>
      <c r="P257" s="365"/>
      <c r="Q257" s="365"/>
      <c r="R257" s="383"/>
      <c r="S257" s="365"/>
      <c r="T257" s="383"/>
      <c r="U257" s="365"/>
      <c r="V257" s="383"/>
      <c r="W257" s="365"/>
      <c r="X257" s="383"/>
      <c r="Y257" s="365"/>
      <c r="Z257" s="383"/>
      <c r="AA257" s="365"/>
      <c r="AB257" s="365"/>
      <c r="AC257" s="365"/>
      <c r="AD257" s="383"/>
      <c r="AE257" s="365"/>
      <c r="AF257" s="383"/>
      <c r="AG257" s="365"/>
      <c r="AH257" s="383"/>
      <c r="AI257" s="365"/>
      <c r="AJ257" s="383"/>
      <c r="AK257" s="365"/>
      <c r="AL257" s="383"/>
      <c r="AM257" s="353"/>
    </row>
    <row r="258" spans="1:39" s="352" customFormat="1">
      <c r="A258" s="364"/>
      <c r="B258" s="364"/>
      <c r="C258" s="365"/>
      <c r="D258" s="365"/>
      <c r="E258" s="365"/>
      <c r="F258" s="365"/>
      <c r="G258" s="365"/>
      <c r="H258" s="383"/>
      <c r="I258" s="365"/>
      <c r="J258" s="383"/>
      <c r="K258" s="365"/>
      <c r="L258" s="365"/>
      <c r="M258" s="365"/>
      <c r="N258" s="383"/>
      <c r="O258" s="365"/>
      <c r="P258" s="365"/>
      <c r="Q258" s="365"/>
      <c r="R258" s="383"/>
      <c r="S258" s="365"/>
      <c r="T258" s="383"/>
      <c r="U258" s="365"/>
      <c r="V258" s="383"/>
      <c r="W258" s="365"/>
      <c r="X258" s="383"/>
      <c r="Y258" s="365"/>
      <c r="Z258" s="383"/>
      <c r="AA258" s="365"/>
      <c r="AB258" s="365"/>
      <c r="AC258" s="365"/>
      <c r="AD258" s="383"/>
      <c r="AE258" s="365"/>
      <c r="AF258" s="383"/>
      <c r="AG258" s="365"/>
      <c r="AH258" s="383"/>
      <c r="AI258" s="365"/>
      <c r="AJ258" s="383"/>
      <c r="AK258" s="365"/>
      <c r="AL258" s="383"/>
      <c r="AM258" s="353"/>
    </row>
    <row r="259" spans="1:39" s="352" customFormat="1">
      <c r="A259" s="364"/>
      <c r="B259" s="364"/>
      <c r="C259" s="365"/>
      <c r="D259" s="365"/>
      <c r="E259" s="365"/>
      <c r="F259" s="365"/>
      <c r="G259" s="365"/>
      <c r="H259" s="383"/>
      <c r="I259" s="365"/>
      <c r="J259" s="383"/>
      <c r="K259" s="365"/>
      <c r="L259" s="365"/>
      <c r="M259" s="365"/>
      <c r="N259" s="383"/>
      <c r="O259" s="365"/>
      <c r="P259" s="365"/>
      <c r="Q259" s="365"/>
      <c r="R259" s="383"/>
      <c r="S259" s="365"/>
      <c r="T259" s="383"/>
      <c r="U259" s="365"/>
      <c r="V259" s="383"/>
      <c r="W259" s="365"/>
      <c r="X259" s="383"/>
      <c r="Y259" s="365"/>
      <c r="Z259" s="383"/>
      <c r="AA259" s="365"/>
      <c r="AB259" s="365"/>
      <c r="AC259" s="365"/>
      <c r="AD259" s="383"/>
      <c r="AE259" s="365"/>
      <c r="AF259" s="383"/>
      <c r="AG259" s="365"/>
      <c r="AH259" s="383"/>
      <c r="AI259" s="365"/>
      <c r="AJ259" s="383"/>
      <c r="AK259" s="365"/>
      <c r="AL259" s="383"/>
      <c r="AM259" s="353"/>
    </row>
    <row r="260" spans="1:39" s="352" customFormat="1">
      <c r="A260" s="364"/>
      <c r="B260" s="364"/>
      <c r="C260" s="365"/>
      <c r="D260" s="365"/>
      <c r="E260" s="365"/>
      <c r="F260" s="365"/>
      <c r="G260" s="365"/>
      <c r="H260" s="383"/>
      <c r="I260" s="365"/>
      <c r="J260" s="383"/>
      <c r="K260" s="365"/>
      <c r="L260" s="365"/>
      <c r="M260" s="365"/>
      <c r="N260" s="383"/>
      <c r="O260" s="365"/>
      <c r="P260" s="365"/>
      <c r="Q260" s="365"/>
      <c r="R260" s="383"/>
      <c r="S260" s="365"/>
      <c r="T260" s="383"/>
      <c r="U260" s="365"/>
      <c r="V260" s="383"/>
      <c r="W260" s="365"/>
      <c r="X260" s="383"/>
      <c r="Y260" s="365"/>
      <c r="Z260" s="383"/>
      <c r="AA260" s="365"/>
      <c r="AB260" s="365"/>
      <c r="AC260" s="365"/>
      <c r="AD260" s="383"/>
      <c r="AE260" s="365"/>
      <c r="AF260" s="383"/>
      <c r="AG260" s="365"/>
      <c r="AH260" s="383"/>
      <c r="AI260" s="365"/>
      <c r="AJ260" s="383"/>
      <c r="AK260" s="365"/>
      <c r="AL260" s="383"/>
      <c r="AM260" s="353"/>
    </row>
    <row r="261" spans="1:39" s="352" customFormat="1">
      <c r="A261" s="364"/>
      <c r="B261" s="364"/>
      <c r="C261" s="365"/>
      <c r="D261" s="365"/>
      <c r="E261" s="365"/>
      <c r="F261" s="365"/>
      <c r="G261" s="365"/>
      <c r="H261" s="383"/>
      <c r="I261" s="365"/>
      <c r="J261" s="383"/>
      <c r="K261" s="365"/>
      <c r="L261" s="365"/>
      <c r="M261" s="365"/>
      <c r="N261" s="383"/>
      <c r="O261" s="365"/>
      <c r="P261" s="365"/>
      <c r="Q261" s="365"/>
      <c r="R261" s="383"/>
      <c r="S261" s="365"/>
      <c r="T261" s="383"/>
      <c r="U261" s="365"/>
      <c r="V261" s="383"/>
      <c r="W261" s="365"/>
      <c r="X261" s="383"/>
      <c r="Y261" s="365"/>
      <c r="Z261" s="383"/>
      <c r="AA261" s="365"/>
      <c r="AB261" s="365"/>
      <c r="AC261" s="365"/>
      <c r="AD261" s="383"/>
      <c r="AE261" s="365"/>
      <c r="AF261" s="383"/>
      <c r="AG261" s="365"/>
      <c r="AH261" s="383"/>
      <c r="AI261" s="365"/>
      <c r="AJ261" s="383"/>
      <c r="AK261" s="365"/>
      <c r="AL261" s="383"/>
      <c r="AM261" s="353"/>
    </row>
    <row r="262" spans="1:39" s="352" customFormat="1">
      <c r="A262" s="364"/>
      <c r="B262" s="364"/>
      <c r="C262" s="365"/>
      <c r="D262" s="365"/>
      <c r="E262" s="365"/>
      <c r="F262" s="365"/>
      <c r="G262" s="365"/>
      <c r="H262" s="383"/>
      <c r="I262" s="365"/>
      <c r="J262" s="383"/>
      <c r="K262" s="365"/>
      <c r="L262" s="365"/>
      <c r="M262" s="365"/>
      <c r="N262" s="383"/>
      <c r="O262" s="365"/>
      <c r="P262" s="365"/>
      <c r="Q262" s="365"/>
      <c r="R262" s="383"/>
      <c r="S262" s="365"/>
      <c r="T262" s="383"/>
      <c r="U262" s="365"/>
      <c r="V262" s="383"/>
      <c r="W262" s="365"/>
      <c r="X262" s="383"/>
      <c r="Y262" s="365"/>
      <c r="Z262" s="383"/>
      <c r="AA262" s="365"/>
      <c r="AB262" s="365"/>
      <c r="AC262" s="365"/>
      <c r="AD262" s="383"/>
      <c r="AE262" s="365"/>
      <c r="AF262" s="383"/>
      <c r="AG262" s="365"/>
      <c r="AH262" s="383"/>
      <c r="AI262" s="365"/>
      <c r="AJ262" s="383"/>
      <c r="AK262" s="365"/>
      <c r="AL262" s="383"/>
      <c r="AM262" s="353"/>
    </row>
    <row r="263" spans="1:39" s="352" customFormat="1">
      <c r="A263" s="364"/>
      <c r="B263" s="364"/>
      <c r="C263" s="365"/>
      <c r="D263" s="365"/>
      <c r="E263" s="365"/>
      <c r="F263" s="365"/>
      <c r="G263" s="365"/>
      <c r="H263" s="383"/>
      <c r="I263" s="365"/>
      <c r="J263" s="383"/>
      <c r="K263" s="365"/>
      <c r="L263" s="365"/>
      <c r="M263" s="365"/>
      <c r="N263" s="383"/>
      <c r="O263" s="365"/>
      <c r="P263" s="365"/>
      <c r="Q263" s="365"/>
      <c r="R263" s="383"/>
      <c r="S263" s="365"/>
      <c r="T263" s="383"/>
      <c r="U263" s="365"/>
      <c r="V263" s="383"/>
      <c r="W263" s="365"/>
      <c r="X263" s="383"/>
      <c r="Y263" s="365"/>
      <c r="Z263" s="383"/>
      <c r="AA263" s="365"/>
      <c r="AB263" s="365"/>
      <c r="AC263" s="365"/>
      <c r="AD263" s="383"/>
      <c r="AE263" s="365"/>
      <c r="AF263" s="383"/>
      <c r="AG263" s="365"/>
      <c r="AH263" s="383"/>
      <c r="AI263" s="365"/>
      <c r="AJ263" s="383"/>
      <c r="AK263" s="365"/>
      <c r="AL263" s="383"/>
      <c r="AM263" s="353"/>
    </row>
    <row r="264" spans="1:39" s="352" customFormat="1">
      <c r="A264" s="364"/>
      <c r="B264" s="364"/>
      <c r="C264" s="365"/>
      <c r="D264" s="365"/>
      <c r="E264" s="365"/>
      <c r="F264" s="365"/>
      <c r="G264" s="365"/>
      <c r="H264" s="383"/>
      <c r="I264" s="365"/>
      <c r="J264" s="383"/>
      <c r="K264" s="365"/>
      <c r="L264" s="365"/>
      <c r="M264" s="365"/>
      <c r="N264" s="383"/>
      <c r="O264" s="365"/>
      <c r="P264" s="365"/>
      <c r="Q264" s="365"/>
      <c r="R264" s="383"/>
      <c r="S264" s="365"/>
      <c r="T264" s="383"/>
      <c r="U264" s="365"/>
      <c r="V264" s="383"/>
      <c r="W264" s="365"/>
      <c r="X264" s="383"/>
      <c r="Y264" s="365"/>
      <c r="Z264" s="383"/>
      <c r="AA264" s="365"/>
      <c r="AB264" s="365"/>
      <c r="AC264" s="365"/>
      <c r="AD264" s="383"/>
      <c r="AE264" s="365"/>
      <c r="AF264" s="383"/>
      <c r="AG264" s="365"/>
      <c r="AH264" s="383"/>
      <c r="AI264" s="365"/>
      <c r="AJ264" s="383"/>
      <c r="AK264" s="365"/>
      <c r="AL264" s="383"/>
      <c r="AM264" s="353"/>
    </row>
    <row r="265" spans="1:39" s="352" customFormat="1">
      <c r="A265" s="364"/>
      <c r="B265" s="364"/>
      <c r="C265" s="365"/>
      <c r="D265" s="365"/>
      <c r="E265" s="365"/>
      <c r="F265" s="365"/>
      <c r="G265" s="365"/>
      <c r="H265" s="383"/>
      <c r="I265" s="365"/>
      <c r="J265" s="383"/>
      <c r="K265" s="365"/>
      <c r="L265" s="365"/>
      <c r="M265" s="365"/>
      <c r="N265" s="383"/>
      <c r="O265" s="365"/>
      <c r="P265" s="365"/>
      <c r="Q265" s="365"/>
      <c r="R265" s="383"/>
      <c r="S265" s="365"/>
      <c r="T265" s="383"/>
      <c r="U265" s="365"/>
      <c r="V265" s="383"/>
      <c r="W265" s="365"/>
      <c r="X265" s="383"/>
      <c r="Y265" s="365"/>
      <c r="Z265" s="383"/>
      <c r="AA265" s="365"/>
      <c r="AB265" s="365"/>
      <c r="AC265" s="365"/>
      <c r="AD265" s="383"/>
      <c r="AE265" s="365"/>
      <c r="AF265" s="383"/>
      <c r="AG265" s="365"/>
      <c r="AH265" s="383"/>
      <c r="AI265" s="365"/>
      <c r="AJ265" s="383"/>
      <c r="AK265" s="365"/>
      <c r="AL265" s="383"/>
      <c r="AM265" s="353"/>
    </row>
    <row r="266" spans="1:39" s="352" customFormat="1">
      <c r="A266" s="364"/>
      <c r="B266" s="364"/>
      <c r="C266" s="365"/>
      <c r="D266" s="365"/>
      <c r="E266" s="365"/>
      <c r="F266" s="365"/>
      <c r="G266" s="365"/>
      <c r="H266" s="383"/>
      <c r="I266" s="365"/>
      <c r="J266" s="383"/>
      <c r="K266" s="365"/>
      <c r="L266" s="365"/>
      <c r="M266" s="365"/>
      <c r="N266" s="383"/>
      <c r="O266" s="365"/>
      <c r="P266" s="365"/>
      <c r="Q266" s="365"/>
      <c r="R266" s="383"/>
      <c r="S266" s="365"/>
      <c r="T266" s="383"/>
      <c r="U266" s="365"/>
      <c r="V266" s="383"/>
      <c r="W266" s="365"/>
      <c r="X266" s="383"/>
      <c r="Y266" s="365"/>
      <c r="Z266" s="383"/>
      <c r="AA266" s="365"/>
      <c r="AB266" s="365"/>
      <c r="AC266" s="365"/>
      <c r="AD266" s="383"/>
      <c r="AE266" s="365"/>
      <c r="AF266" s="383"/>
      <c r="AG266" s="365"/>
      <c r="AH266" s="383"/>
      <c r="AI266" s="365"/>
      <c r="AJ266" s="383"/>
      <c r="AK266" s="365"/>
      <c r="AL266" s="383"/>
      <c r="AM266" s="353"/>
    </row>
    <row r="267" spans="1:39" s="352" customFormat="1">
      <c r="A267" s="364"/>
      <c r="B267" s="364"/>
      <c r="C267" s="365"/>
      <c r="D267" s="365"/>
      <c r="E267" s="365"/>
      <c r="F267" s="365"/>
      <c r="G267" s="365"/>
      <c r="H267" s="383"/>
      <c r="I267" s="365"/>
      <c r="J267" s="383"/>
      <c r="K267" s="365"/>
      <c r="L267" s="365"/>
      <c r="M267" s="365"/>
      <c r="N267" s="383"/>
      <c r="O267" s="365"/>
      <c r="P267" s="365"/>
      <c r="Q267" s="365"/>
      <c r="R267" s="383"/>
      <c r="S267" s="365"/>
      <c r="T267" s="383"/>
      <c r="U267" s="365"/>
      <c r="V267" s="383"/>
      <c r="W267" s="365"/>
      <c r="X267" s="383"/>
      <c r="Y267" s="365"/>
      <c r="Z267" s="383"/>
      <c r="AA267" s="365"/>
      <c r="AB267" s="365"/>
      <c r="AC267" s="365"/>
      <c r="AD267" s="383"/>
      <c r="AE267" s="365"/>
      <c r="AF267" s="383"/>
      <c r="AG267" s="365"/>
      <c r="AH267" s="383"/>
      <c r="AI267" s="365"/>
      <c r="AJ267" s="383"/>
      <c r="AK267" s="365"/>
      <c r="AL267" s="383"/>
      <c r="AM267" s="353"/>
    </row>
    <row r="268" spans="1:39" s="352" customFormat="1">
      <c r="A268" s="364"/>
      <c r="B268" s="364"/>
      <c r="C268" s="365"/>
      <c r="D268" s="365"/>
      <c r="E268" s="365"/>
      <c r="F268" s="365"/>
      <c r="G268" s="365"/>
      <c r="H268" s="383"/>
      <c r="I268" s="365"/>
      <c r="J268" s="383"/>
      <c r="K268" s="365"/>
      <c r="L268" s="365"/>
      <c r="M268" s="365"/>
      <c r="N268" s="383"/>
      <c r="O268" s="365"/>
      <c r="P268" s="365"/>
      <c r="Q268" s="365"/>
      <c r="R268" s="383"/>
      <c r="S268" s="365"/>
      <c r="T268" s="383"/>
      <c r="U268" s="365"/>
      <c r="V268" s="383"/>
      <c r="W268" s="365"/>
      <c r="X268" s="383"/>
      <c r="Y268" s="365"/>
      <c r="Z268" s="383"/>
      <c r="AA268" s="365"/>
      <c r="AB268" s="365"/>
      <c r="AC268" s="365"/>
      <c r="AD268" s="383"/>
      <c r="AE268" s="365"/>
      <c r="AF268" s="383"/>
      <c r="AG268" s="365"/>
      <c r="AH268" s="383"/>
      <c r="AI268" s="365"/>
      <c r="AJ268" s="383"/>
      <c r="AK268" s="365"/>
      <c r="AL268" s="383"/>
      <c r="AM268" s="353"/>
    </row>
    <row r="269" spans="1:39" s="352" customFormat="1">
      <c r="A269" s="364"/>
      <c r="B269" s="364"/>
      <c r="C269" s="365"/>
      <c r="D269" s="365"/>
      <c r="E269" s="365"/>
      <c r="F269" s="365"/>
      <c r="G269" s="365"/>
      <c r="H269" s="383"/>
      <c r="I269" s="365"/>
      <c r="J269" s="383"/>
      <c r="K269" s="365"/>
      <c r="L269" s="365"/>
      <c r="M269" s="365"/>
      <c r="N269" s="383"/>
      <c r="O269" s="365"/>
      <c r="P269" s="365"/>
      <c r="Q269" s="365"/>
      <c r="R269" s="383"/>
      <c r="S269" s="365"/>
      <c r="T269" s="383"/>
      <c r="U269" s="365"/>
      <c r="V269" s="383"/>
      <c r="W269" s="365"/>
      <c r="X269" s="383"/>
      <c r="Y269" s="365"/>
      <c r="Z269" s="383"/>
      <c r="AA269" s="365"/>
      <c r="AB269" s="365"/>
      <c r="AC269" s="365"/>
      <c r="AD269" s="383"/>
      <c r="AE269" s="365"/>
      <c r="AF269" s="383"/>
      <c r="AG269" s="365"/>
      <c r="AH269" s="383"/>
      <c r="AI269" s="365"/>
      <c r="AJ269" s="383"/>
      <c r="AK269" s="365"/>
      <c r="AL269" s="383"/>
      <c r="AM269" s="353"/>
    </row>
    <row r="270" spans="1:39" s="352" customFormat="1">
      <c r="A270" s="364"/>
      <c r="B270" s="364"/>
      <c r="C270" s="365"/>
      <c r="D270" s="365"/>
      <c r="E270" s="365"/>
      <c r="F270" s="365"/>
      <c r="G270" s="365"/>
      <c r="H270" s="383"/>
      <c r="I270" s="365"/>
      <c r="J270" s="383"/>
      <c r="K270" s="365"/>
      <c r="L270" s="365"/>
      <c r="M270" s="365"/>
      <c r="N270" s="383"/>
      <c r="O270" s="365"/>
      <c r="P270" s="365"/>
      <c r="Q270" s="365"/>
      <c r="R270" s="383"/>
      <c r="S270" s="365"/>
      <c r="T270" s="383"/>
      <c r="U270" s="365"/>
      <c r="V270" s="383"/>
      <c r="W270" s="365"/>
      <c r="X270" s="383"/>
      <c r="Y270" s="365"/>
      <c r="Z270" s="383"/>
      <c r="AA270" s="365"/>
      <c r="AB270" s="365"/>
      <c r="AC270" s="365"/>
      <c r="AD270" s="383"/>
      <c r="AE270" s="365"/>
      <c r="AF270" s="383"/>
      <c r="AG270" s="365"/>
      <c r="AH270" s="383"/>
      <c r="AI270" s="365"/>
      <c r="AJ270" s="383"/>
      <c r="AK270" s="365"/>
      <c r="AL270" s="383"/>
      <c r="AM270" s="353"/>
    </row>
    <row r="271" spans="1:39" s="352" customFormat="1">
      <c r="A271" s="364"/>
      <c r="B271" s="364"/>
      <c r="C271" s="365"/>
      <c r="D271" s="365"/>
      <c r="E271" s="365"/>
      <c r="F271" s="365"/>
      <c r="G271" s="365"/>
      <c r="H271" s="383"/>
      <c r="I271" s="365"/>
      <c r="J271" s="383"/>
      <c r="K271" s="365"/>
      <c r="L271" s="365"/>
      <c r="M271" s="365"/>
      <c r="N271" s="383"/>
      <c r="O271" s="365"/>
      <c r="P271" s="365"/>
      <c r="Q271" s="365"/>
      <c r="R271" s="383"/>
      <c r="S271" s="365"/>
      <c r="T271" s="383"/>
      <c r="U271" s="365"/>
      <c r="V271" s="383"/>
      <c r="W271" s="365"/>
      <c r="X271" s="383"/>
      <c r="Y271" s="365"/>
      <c r="Z271" s="383"/>
      <c r="AA271" s="365"/>
      <c r="AB271" s="365"/>
      <c r="AC271" s="365"/>
      <c r="AD271" s="383"/>
      <c r="AE271" s="365"/>
      <c r="AF271" s="383"/>
      <c r="AG271" s="365"/>
      <c r="AH271" s="383"/>
      <c r="AI271" s="365"/>
      <c r="AJ271" s="383"/>
      <c r="AK271" s="365"/>
      <c r="AL271" s="383"/>
      <c r="AM271" s="353"/>
    </row>
    <row r="272" spans="1:39" s="352" customFormat="1">
      <c r="A272" s="364"/>
      <c r="B272" s="364"/>
      <c r="C272" s="365"/>
      <c r="D272" s="365"/>
      <c r="E272" s="365"/>
      <c r="F272" s="365"/>
      <c r="G272" s="365"/>
      <c r="H272" s="383"/>
      <c r="I272" s="365"/>
      <c r="J272" s="383"/>
      <c r="K272" s="365"/>
      <c r="L272" s="365"/>
      <c r="M272" s="365"/>
      <c r="N272" s="383"/>
      <c r="O272" s="365"/>
      <c r="P272" s="365"/>
      <c r="Q272" s="365"/>
      <c r="R272" s="383"/>
      <c r="S272" s="365"/>
      <c r="T272" s="383"/>
      <c r="U272" s="365"/>
      <c r="V272" s="383"/>
      <c r="W272" s="365"/>
      <c r="X272" s="383"/>
      <c r="Y272" s="365"/>
      <c r="Z272" s="383"/>
      <c r="AA272" s="365"/>
      <c r="AB272" s="365"/>
      <c r="AC272" s="365"/>
      <c r="AD272" s="383"/>
      <c r="AE272" s="365"/>
      <c r="AF272" s="383"/>
      <c r="AG272" s="365"/>
      <c r="AH272" s="383"/>
      <c r="AI272" s="365"/>
      <c r="AJ272" s="383"/>
      <c r="AK272" s="365"/>
      <c r="AL272" s="383"/>
      <c r="AM272" s="353"/>
    </row>
    <row r="273" spans="1:39" s="352" customFormat="1">
      <c r="A273" s="364"/>
      <c r="B273" s="364"/>
      <c r="C273" s="365"/>
      <c r="D273" s="365"/>
      <c r="E273" s="365"/>
      <c r="F273" s="365"/>
      <c r="G273" s="365"/>
      <c r="H273" s="383"/>
      <c r="I273" s="365"/>
      <c r="J273" s="383"/>
      <c r="K273" s="365"/>
      <c r="L273" s="365"/>
      <c r="M273" s="365"/>
      <c r="N273" s="383"/>
      <c r="O273" s="365"/>
      <c r="P273" s="365"/>
      <c r="Q273" s="365"/>
      <c r="R273" s="383"/>
      <c r="S273" s="365"/>
      <c r="T273" s="383"/>
      <c r="U273" s="365"/>
      <c r="V273" s="383"/>
      <c r="W273" s="365"/>
      <c r="X273" s="383"/>
      <c r="Y273" s="365"/>
      <c r="Z273" s="383"/>
      <c r="AA273" s="365"/>
      <c r="AB273" s="365"/>
      <c r="AC273" s="365"/>
      <c r="AD273" s="383"/>
      <c r="AE273" s="365"/>
      <c r="AF273" s="383"/>
      <c r="AG273" s="365"/>
      <c r="AH273" s="383"/>
      <c r="AI273" s="365"/>
      <c r="AJ273" s="383"/>
      <c r="AK273" s="365"/>
      <c r="AL273" s="383"/>
      <c r="AM273" s="353"/>
    </row>
    <row r="274" spans="1:39" s="352" customFormat="1">
      <c r="A274" s="364"/>
      <c r="B274" s="364"/>
      <c r="C274" s="365"/>
      <c r="D274" s="365"/>
      <c r="E274" s="365"/>
      <c r="F274" s="365"/>
      <c r="G274" s="365"/>
      <c r="H274" s="383"/>
      <c r="I274" s="365"/>
      <c r="J274" s="383"/>
      <c r="K274" s="365"/>
      <c r="L274" s="365"/>
      <c r="M274" s="365"/>
      <c r="N274" s="383"/>
      <c r="O274" s="365"/>
      <c r="P274" s="365"/>
      <c r="Q274" s="365"/>
      <c r="R274" s="383"/>
      <c r="S274" s="365"/>
      <c r="T274" s="383"/>
      <c r="U274" s="365"/>
      <c r="V274" s="383"/>
      <c r="W274" s="365"/>
      <c r="X274" s="383"/>
      <c r="Y274" s="365"/>
      <c r="Z274" s="383"/>
      <c r="AA274" s="365"/>
      <c r="AB274" s="365"/>
      <c r="AC274" s="365"/>
      <c r="AD274" s="383"/>
      <c r="AE274" s="365"/>
      <c r="AF274" s="383"/>
      <c r="AG274" s="365"/>
      <c r="AH274" s="383"/>
      <c r="AI274" s="365"/>
      <c r="AJ274" s="383"/>
      <c r="AK274" s="365"/>
      <c r="AL274" s="383"/>
      <c r="AM274" s="353"/>
    </row>
    <row r="275" spans="1:39" s="352" customFormat="1">
      <c r="A275" s="364"/>
      <c r="B275" s="364"/>
      <c r="C275" s="365"/>
      <c r="D275" s="365"/>
      <c r="E275" s="365"/>
      <c r="F275" s="365"/>
      <c r="G275" s="365"/>
      <c r="H275" s="383"/>
      <c r="I275" s="365"/>
      <c r="J275" s="383"/>
      <c r="K275" s="365"/>
      <c r="L275" s="365"/>
      <c r="M275" s="365"/>
      <c r="N275" s="383"/>
      <c r="O275" s="365"/>
      <c r="P275" s="365"/>
      <c r="Q275" s="365"/>
      <c r="R275" s="383"/>
      <c r="S275" s="365"/>
      <c r="T275" s="383"/>
      <c r="U275" s="365"/>
      <c r="V275" s="383"/>
      <c r="W275" s="365"/>
      <c r="X275" s="383"/>
      <c r="Y275" s="365"/>
      <c r="Z275" s="383"/>
      <c r="AA275" s="365"/>
      <c r="AB275" s="365"/>
      <c r="AC275" s="365"/>
      <c r="AD275" s="383"/>
      <c r="AE275" s="365"/>
      <c r="AF275" s="383"/>
      <c r="AG275" s="365"/>
      <c r="AH275" s="383"/>
      <c r="AI275" s="365"/>
      <c r="AJ275" s="383"/>
      <c r="AK275" s="365"/>
      <c r="AL275" s="383"/>
      <c r="AM275" s="353"/>
    </row>
    <row r="276" spans="1:39" s="352" customFormat="1">
      <c r="A276" s="364"/>
      <c r="B276" s="364"/>
      <c r="C276" s="365"/>
      <c r="D276" s="365"/>
      <c r="E276" s="365"/>
      <c r="F276" s="365"/>
      <c r="G276" s="365"/>
      <c r="H276" s="383"/>
      <c r="I276" s="365"/>
      <c r="J276" s="383"/>
      <c r="K276" s="365"/>
      <c r="L276" s="365"/>
      <c r="M276" s="365"/>
      <c r="N276" s="383"/>
      <c r="O276" s="365"/>
      <c r="P276" s="365"/>
      <c r="Q276" s="365"/>
      <c r="R276" s="383"/>
      <c r="S276" s="365"/>
      <c r="T276" s="383"/>
      <c r="U276" s="365"/>
      <c r="V276" s="383"/>
      <c r="W276" s="365"/>
      <c r="X276" s="383"/>
      <c r="Y276" s="365"/>
      <c r="Z276" s="383"/>
      <c r="AA276" s="365"/>
      <c r="AB276" s="365"/>
      <c r="AC276" s="365"/>
      <c r="AD276" s="383"/>
      <c r="AE276" s="365"/>
      <c r="AF276" s="383"/>
      <c r="AG276" s="365"/>
      <c r="AH276" s="383"/>
      <c r="AI276" s="365"/>
      <c r="AJ276" s="383"/>
      <c r="AK276" s="365"/>
      <c r="AL276" s="383"/>
      <c r="AM276" s="353"/>
    </row>
    <row r="277" spans="1:39" s="352" customFormat="1">
      <c r="A277" s="364"/>
      <c r="B277" s="364"/>
      <c r="C277" s="365"/>
      <c r="D277" s="365"/>
      <c r="E277" s="365"/>
      <c r="F277" s="365"/>
      <c r="G277" s="365"/>
      <c r="H277" s="383"/>
      <c r="I277" s="365"/>
      <c r="J277" s="383"/>
      <c r="K277" s="365"/>
      <c r="L277" s="365"/>
      <c r="M277" s="365"/>
      <c r="N277" s="383"/>
      <c r="O277" s="365"/>
      <c r="P277" s="365"/>
      <c r="Q277" s="365"/>
      <c r="R277" s="383"/>
      <c r="S277" s="365"/>
      <c r="T277" s="383"/>
      <c r="U277" s="365"/>
      <c r="V277" s="383"/>
      <c r="W277" s="365"/>
      <c r="X277" s="383"/>
      <c r="Y277" s="365"/>
      <c r="Z277" s="383"/>
      <c r="AA277" s="365"/>
      <c r="AB277" s="365"/>
      <c r="AC277" s="365"/>
      <c r="AD277" s="383"/>
      <c r="AE277" s="365"/>
      <c r="AF277" s="383"/>
      <c r="AG277" s="365"/>
      <c r="AH277" s="383"/>
      <c r="AI277" s="365"/>
      <c r="AJ277" s="383"/>
      <c r="AK277" s="365"/>
      <c r="AL277" s="383"/>
      <c r="AM277" s="353"/>
    </row>
    <row r="278" spans="1:39" s="352" customFormat="1">
      <c r="A278" s="364"/>
      <c r="B278" s="364"/>
      <c r="C278" s="365"/>
      <c r="D278" s="365"/>
      <c r="E278" s="365"/>
      <c r="F278" s="365"/>
      <c r="G278" s="365"/>
      <c r="H278" s="383"/>
      <c r="I278" s="365"/>
      <c r="J278" s="383"/>
      <c r="K278" s="365"/>
      <c r="L278" s="365"/>
      <c r="M278" s="365"/>
      <c r="N278" s="383"/>
      <c r="O278" s="365"/>
      <c r="P278" s="365"/>
      <c r="Q278" s="365"/>
      <c r="R278" s="383"/>
      <c r="S278" s="365"/>
      <c r="T278" s="383"/>
      <c r="U278" s="365"/>
      <c r="V278" s="383"/>
      <c r="W278" s="365"/>
      <c r="X278" s="383"/>
      <c r="Y278" s="365"/>
      <c r="Z278" s="383"/>
      <c r="AA278" s="365"/>
      <c r="AB278" s="365"/>
      <c r="AC278" s="365"/>
      <c r="AD278" s="383"/>
      <c r="AE278" s="365"/>
      <c r="AF278" s="383"/>
      <c r="AG278" s="365"/>
      <c r="AH278" s="383"/>
      <c r="AI278" s="365"/>
      <c r="AJ278" s="383"/>
      <c r="AK278" s="365"/>
      <c r="AL278" s="383"/>
      <c r="AM278" s="353"/>
    </row>
    <row r="279" spans="1:39" s="352" customFormat="1">
      <c r="A279" s="364"/>
      <c r="B279" s="364"/>
      <c r="C279" s="365"/>
      <c r="D279" s="365"/>
      <c r="E279" s="365"/>
      <c r="F279" s="365"/>
      <c r="G279" s="365"/>
      <c r="H279" s="383"/>
      <c r="I279" s="365"/>
      <c r="J279" s="383"/>
      <c r="K279" s="365"/>
      <c r="L279" s="365"/>
      <c r="M279" s="365"/>
      <c r="N279" s="383"/>
      <c r="O279" s="365"/>
      <c r="P279" s="365"/>
      <c r="Q279" s="365"/>
      <c r="R279" s="383"/>
      <c r="S279" s="365"/>
      <c r="T279" s="383"/>
      <c r="U279" s="365"/>
      <c r="V279" s="383"/>
      <c r="W279" s="365"/>
      <c r="X279" s="383"/>
      <c r="Y279" s="365"/>
      <c r="Z279" s="383"/>
      <c r="AA279" s="365"/>
      <c r="AB279" s="365"/>
      <c r="AC279" s="365"/>
      <c r="AD279" s="383"/>
      <c r="AE279" s="365"/>
      <c r="AF279" s="383"/>
      <c r="AG279" s="365"/>
      <c r="AH279" s="383"/>
      <c r="AI279" s="365"/>
      <c r="AJ279" s="383"/>
      <c r="AK279" s="365"/>
      <c r="AL279" s="383"/>
      <c r="AM279" s="353"/>
    </row>
    <row r="280" spans="1:39" s="352" customFormat="1">
      <c r="A280" s="364"/>
      <c r="B280" s="364"/>
      <c r="C280" s="365"/>
      <c r="D280" s="365"/>
      <c r="E280" s="365"/>
      <c r="F280" s="365"/>
      <c r="G280" s="365"/>
      <c r="H280" s="383"/>
      <c r="I280" s="365"/>
      <c r="J280" s="383"/>
      <c r="K280" s="365"/>
      <c r="L280" s="365"/>
      <c r="M280" s="365"/>
      <c r="N280" s="383"/>
      <c r="O280" s="365"/>
      <c r="P280" s="365"/>
      <c r="Q280" s="365"/>
      <c r="R280" s="383"/>
      <c r="S280" s="365"/>
      <c r="T280" s="383"/>
      <c r="U280" s="365"/>
      <c r="V280" s="383"/>
      <c r="W280" s="365"/>
      <c r="X280" s="383"/>
      <c r="Y280" s="365"/>
      <c r="Z280" s="383"/>
      <c r="AA280" s="365"/>
      <c r="AB280" s="365"/>
      <c r="AC280" s="365"/>
      <c r="AD280" s="383"/>
      <c r="AE280" s="365"/>
      <c r="AF280" s="383"/>
      <c r="AG280" s="365"/>
      <c r="AH280" s="383"/>
      <c r="AI280" s="365"/>
      <c r="AJ280" s="383"/>
      <c r="AK280" s="365"/>
      <c r="AL280" s="383"/>
      <c r="AM280" s="353"/>
    </row>
    <row r="281" spans="1:39" s="352" customFormat="1">
      <c r="A281" s="364"/>
      <c r="B281" s="364"/>
      <c r="C281" s="365"/>
      <c r="D281" s="365"/>
      <c r="E281" s="365"/>
      <c r="F281" s="365"/>
      <c r="G281" s="365"/>
      <c r="H281" s="383"/>
      <c r="I281" s="365"/>
      <c r="J281" s="383"/>
      <c r="K281" s="365"/>
      <c r="L281" s="365"/>
      <c r="M281" s="365"/>
      <c r="N281" s="383"/>
      <c r="O281" s="365"/>
      <c r="P281" s="365"/>
      <c r="Q281" s="365"/>
      <c r="R281" s="383"/>
      <c r="S281" s="365"/>
      <c r="T281" s="383"/>
      <c r="U281" s="365"/>
      <c r="V281" s="383"/>
      <c r="W281" s="365"/>
      <c r="X281" s="383"/>
      <c r="Y281" s="365"/>
      <c r="Z281" s="383"/>
      <c r="AA281" s="365"/>
      <c r="AB281" s="365"/>
      <c r="AC281" s="365"/>
      <c r="AD281" s="383"/>
      <c r="AE281" s="365"/>
      <c r="AF281" s="383"/>
      <c r="AG281" s="365"/>
      <c r="AH281" s="383"/>
      <c r="AI281" s="365"/>
      <c r="AJ281" s="383"/>
      <c r="AK281" s="365"/>
      <c r="AL281" s="383"/>
      <c r="AM281" s="353"/>
    </row>
    <row r="282" spans="1:39" s="352" customFormat="1">
      <c r="A282" s="364"/>
      <c r="B282" s="364"/>
      <c r="C282" s="365"/>
      <c r="D282" s="365"/>
      <c r="E282" s="365"/>
      <c r="F282" s="365"/>
      <c r="G282" s="365"/>
      <c r="H282" s="383"/>
      <c r="I282" s="365"/>
      <c r="J282" s="383"/>
      <c r="K282" s="365"/>
      <c r="L282" s="365"/>
      <c r="M282" s="365"/>
      <c r="N282" s="383"/>
      <c r="O282" s="365"/>
      <c r="P282" s="365"/>
      <c r="Q282" s="365"/>
      <c r="R282" s="383"/>
      <c r="S282" s="365"/>
      <c r="T282" s="383"/>
      <c r="U282" s="365"/>
      <c r="V282" s="383"/>
      <c r="W282" s="365"/>
      <c r="X282" s="383"/>
      <c r="Y282" s="365"/>
      <c r="Z282" s="383"/>
      <c r="AA282" s="365"/>
      <c r="AB282" s="365"/>
      <c r="AC282" s="365"/>
      <c r="AD282" s="383"/>
      <c r="AE282" s="365"/>
      <c r="AF282" s="383"/>
      <c r="AG282" s="365"/>
      <c r="AH282" s="383"/>
      <c r="AI282" s="365"/>
      <c r="AJ282" s="383"/>
      <c r="AK282" s="365"/>
      <c r="AL282" s="383"/>
      <c r="AM282" s="353"/>
    </row>
    <row r="283" spans="1:39" s="352" customFormat="1">
      <c r="A283" s="364"/>
      <c r="B283" s="364"/>
      <c r="C283" s="365"/>
      <c r="D283" s="365"/>
      <c r="E283" s="365"/>
      <c r="F283" s="365"/>
      <c r="G283" s="365"/>
      <c r="H283" s="383"/>
      <c r="I283" s="365"/>
      <c r="J283" s="383"/>
      <c r="K283" s="365"/>
      <c r="L283" s="365"/>
      <c r="M283" s="365"/>
      <c r="N283" s="383"/>
      <c r="O283" s="365"/>
      <c r="P283" s="365"/>
      <c r="Q283" s="365"/>
      <c r="R283" s="383"/>
      <c r="S283" s="365"/>
      <c r="T283" s="383"/>
      <c r="U283" s="365"/>
      <c r="V283" s="383"/>
      <c r="W283" s="365"/>
      <c r="X283" s="383"/>
      <c r="Y283" s="365"/>
      <c r="Z283" s="383"/>
      <c r="AA283" s="365"/>
      <c r="AB283" s="365"/>
      <c r="AC283" s="365"/>
      <c r="AD283" s="383"/>
      <c r="AE283" s="365"/>
      <c r="AF283" s="383"/>
      <c r="AG283" s="365"/>
      <c r="AH283" s="383"/>
      <c r="AI283" s="365"/>
      <c r="AJ283" s="383"/>
      <c r="AK283" s="365"/>
      <c r="AL283" s="383"/>
      <c r="AM283" s="353"/>
    </row>
    <row r="284" spans="1:39" s="352" customFormat="1">
      <c r="A284" s="364"/>
      <c r="B284" s="364"/>
      <c r="C284" s="365"/>
      <c r="D284" s="365"/>
      <c r="E284" s="365"/>
      <c r="F284" s="365"/>
      <c r="G284" s="365"/>
      <c r="H284" s="383"/>
      <c r="I284" s="365"/>
      <c r="J284" s="383"/>
      <c r="K284" s="365"/>
      <c r="L284" s="365"/>
      <c r="M284" s="365"/>
      <c r="N284" s="383"/>
      <c r="O284" s="365"/>
      <c r="P284" s="365"/>
      <c r="Q284" s="365"/>
      <c r="R284" s="383"/>
      <c r="S284" s="365"/>
      <c r="T284" s="383"/>
      <c r="U284" s="365"/>
      <c r="V284" s="383"/>
      <c r="W284" s="365"/>
      <c r="X284" s="383"/>
      <c r="Y284" s="365"/>
      <c r="Z284" s="383"/>
      <c r="AA284" s="365"/>
      <c r="AB284" s="365"/>
      <c r="AC284" s="365"/>
      <c r="AD284" s="383"/>
      <c r="AE284" s="365"/>
      <c r="AF284" s="383"/>
      <c r="AG284" s="365"/>
      <c r="AH284" s="383"/>
      <c r="AI284" s="365"/>
      <c r="AJ284" s="383"/>
      <c r="AK284" s="365"/>
      <c r="AL284" s="383"/>
      <c r="AM284" s="353"/>
    </row>
    <row r="285" spans="1:39" s="352" customFormat="1">
      <c r="A285" s="364"/>
      <c r="B285" s="364"/>
      <c r="C285" s="365"/>
      <c r="D285" s="365"/>
      <c r="E285" s="365"/>
      <c r="F285" s="365"/>
      <c r="G285" s="365"/>
      <c r="H285" s="383"/>
      <c r="I285" s="365"/>
      <c r="J285" s="383"/>
      <c r="K285" s="365"/>
      <c r="L285" s="365"/>
      <c r="M285" s="365"/>
      <c r="N285" s="383"/>
      <c r="O285" s="365"/>
      <c r="P285" s="365"/>
      <c r="Q285" s="365"/>
      <c r="R285" s="383"/>
      <c r="S285" s="365"/>
      <c r="T285" s="383"/>
      <c r="U285" s="365"/>
      <c r="V285" s="383"/>
      <c r="W285" s="365"/>
      <c r="X285" s="383"/>
      <c r="Y285" s="365"/>
      <c r="Z285" s="383"/>
      <c r="AA285" s="365"/>
      <c r="AB285" s="365"/>
      <c r="AC285" s="365"/>
      <c r="AD285" s="383"/>
      <c r="AE285" s="365"/>
      <c r="AF285" s="383"/>
      <c r="AG285" s="365"/>
      <c r="AH285" s="383"/>
      <c r="AI285" s="365"/>
      <c r="AJ285" s="383"/>
      <c r="AK285" s="365"/>
      <c r="AL285" s="383"/>
      <c r="AM285" s="353"/>
    </row>
    <row r="286" spans="1:39" s="352" customFormat="1">
      <c r="A286" s="364"/>
      <c r="B286" s="364"/>
      <c r="C286" s="365"/>
      <c r="D286" s="365"/>
      <c r="E286" s="365"/>
      <c r="F286" s="365"/>
      <c r="G286" s="365"/>
      <c r="H286" s="383"/>
      <c r="I286" s="365"/>
      <c r="J286" s="383"/>
      <c r="K286" s="365"/>
      <c r="L286" s="365"/>
      <c r="M286" s="365"/>
      <c r="N286" s="383"/>
      <c r="O286" s="365"/>
      <c r="P286" s="365"/>
      <c r="Q286" s="365"/>
      <c r="R286" s="383"/>
      <c r="S286" s="365"/>
      <c r="T286" s="383"/>
      <c r="U286" s="365"/>
      <c r="V286" s="383"/>
      <c r="W286" s="365"/>
      <c r="X286" s="383"/>
      <c r="Y286" s="365"/>
      <c r="Z286" s="383"/>
      <c r="AA286" s="365"/>
      <c r="AB286" s="365"/>
      <c r="AC286" s="365"/>
      <c r="AD286" s="383"/>
      <c r="AE286" s="365"/>
      <c r="AF286" s="383"/>
      <c r="AG286" s="365"/>
      <c r="AH286" s="383"/>
      <c r="AI286" s="365"/>
      <c r="AJ286" s="383"/>
      <c r="AK286" s="365"/>
      <c r="AL286" s="383"/>
      <c r="AM286" s="353"/>
    </row>
    <row r="287" spans="1:39" s="352" customFormat="1">
      <c r="A287" s="364"/>
      <c r="B287" s="364"/>
      <c r="C287" s="365"/>
      <c r="D287" s="365"/>
      <c r="E287" s="365"/>
      <c r="F287" s="365"/>
      <c r="G287" s="365"/>
      <c r="H287" s="383"/>
      <c r="I287" s="365"/>
      <c r="J287" s="383"/>
      <c r="K287" s="365"/>
      <c r="L287" s="365"/>
      <c r="M287" s="365"/>
      <c r="N287" s="383"/>
      <c r="O287" s="365"/>
      <c r="P287" s="365"/>
      <c r="Q287" s="365"/>
      <c r="R287" s="383"/>
      <c r="S287" s="365"/>
      <c r="T287" s="383"/>
      <c r="U287" s="365"/>
      <c r="V287" s="383"/>
      <c r="W287" s="365"/>
      <c r="X287" s="383"/>
      <c r="Y287" s="365"/>
      <c r="Z287" s="383"/>
      <c r="AA287" s="365"/>
      <c r="AB287" s="365"/>
      <c r="AC287" s="365"/>
      <c r="AD287" s="383"/>
      <c r="AE287" s="365"/>
      <c r="AF287" s="383"/>
      <c r="AG287" s="365"/>
      <c r="AH287" s="383"/>
      <c r="AI287" s="365"/>
      <c r="AJ287" s="383"/>
      <c r="AK287" s="365"/>
      <c r="AL287" s="383"/>
      <c r="AM287" s="353"/>
    </row>
    <row r="288" spans="1:39" s="352" customFormat="1">
      <c r="A288" s="364"/>
      <c r="B288" s="364"/>
      <c r="C288" s="365"/>
      <c r="D288" s="365"/>
      <c r="E288" s="365"/>
      <c r="F288" s="365"/>
      <c r="G288" s="365"/>
      <c r="H288" s="383"/>
      <c r="I288" s="365"/>
      <c r="J288" s="383"/>
      <c r="K288" s="365"/>
      <c r="L288" s="365"/>
      <c r="M288" s="365"/>
      <c r="N288" s="383"/>
      <c r="O288" s="365"/>
      <c r="P288" s="365"/>
      <c r="Q288" s="365"/>
      <c r="R288" s="383"/>
      <c r="S288" s="365"/>
      <c r="T288" s="383"/>
      <c r="U288" s="365"/>
      <c r="V288" s="383"/>
      <c r="W288" s="365"/>
      <c r="X288" s="383"/>
      <c r="Y288" s="365"/>
      <c r="Z288" s="383"/>
      <c r="AA288" s="365"/>
      <c r="AB288" s="365"/>
      <c r="AC288" s="365"/>
      <c r="AD288" s="383"/>
      <c r="AE288" s="365"/>
      <c r="AF288" s="383"/>
      <c r="AG288" s="365"/>
      <c r="AH288" s="383"/>
      <c r="AI288" s="365"/>
      <c r="AJ288" s="383"/>
      <c r="AK288" s="365"/>
      <c r="AL288" s="383"/>
      <c r="AM288" s="353"/>
    </row>
    <row r="289" spans="1:39" s="352" customFormat="1">
      <c r="A289" s="364"/>
      <c r="B289" s="364"/>
      <c r="C289" s="365"/>
      <c r="D289" s="365"/>
      <c r="E289" s="365"/>
      <c r="F289" s="365"/>
      <c r="G289" s="365"/>
      <c r="H289" s="383"/>
      <c r="I289" s="365"/>
      <c r="J289" s="383"/>
      <c r="K289" s="365"/>
      <c r="L289" s="365"/>
      <c r="M289" s="365"/>
      <c r="N289" s="383"/>
      <c r="O289" s="365"/>
      <c r="P289" s="365"/>
      <c r="Q289" s="365"/>
      <c r="R289" s="383"/>
      <c r="S289" s="365"/>
      <c r="T289" s="383"/>
      <c r="U289" s="365"/>
      <c r="V289" s="383"/>
      <c r="W289" s="365"/>
      <c r="X289" s="383"/>
      <c r="Y289" s="365"/>
      <c r="Z289" s="383"/>
      <c r="AA289" s="365"/>
      <c r="AB289" s="365"/>
      <c r="AC289" s="365"/>
      <c r="AD289" s="383"/>
      <c r="AE289" s="365"/>
      <c r="AF289" s="383"/>
      <c r="AG289" s="365"/>
      <c r="AH289" s="383"/>
      <c r="AI289" s="365"/>
      <c r="AJ289" s="383"/>
      <c r="AK289" s="365"/>
      <c r="AL289" s="383"/>
      <c r="AM289" s="353"/>
    </row>
    <row r="290" spans="1:39" s="352" customFormat="1">
      <c r="A290" s="364"/>
      <c r="B290" s="364"/>
      <c r="C290" s="365"/>
      <c r="D290" s="365"/>
      <c r="E290" s="365"/>
      <c r="F290" s="365"/>
      <c r="G290" s="365"/>
      <c r="H290" s="383"/>
      <c r="I290" s="365"/>
      <c r="J290" s="383"/>
      <c r="K290" s="365"/>
      <c r="L290" s="365"/>
      <c r="M290" s="365"/>
      <c r="N290" s="383"/>
      <c r="O290" s="365"/>
      <c r="P290" s="365"/>
      <c r="Q290" s="365"/>
      <c r="R290" s="383"/>
      <c r="S290" s="365"/>
      <c r="T290" s="383"/>
      <c r="U290" s="365"/>
      <c r="V290" s="383"/>
      <c r="W290" s="365"/>
      <c r="X290" s="383"/>
      <c r="Y290" s="365"/>
      <c r="Z290" s="383"/>
      <c r="AA290" s="365"/>
      <c r="AB290" s="365"/>
      <c r="AC290" s="365"/>
      <c r="AD290" s="383"/>
      <c r="AE290" s="365"/>
      <c r="AF290" s="383"/>
      <c r="AG290" s="365"/>
      <c r="AH290" s="383"/>
      <c r="AI290" s="365"/>
      <c r="AJ290" s="383"/>
      <c r="AK290" s="365"/>
      <c r="AL290" s="383"/>
      <c r="AM290" s="353"/>
    </row>
    <row r="291" spans="1:39" s="352" customFormat="1">
      <c r="A291" s="364"/>
      <c r="B291" s="364"/>
      <c r="C291" s="365"/>
      <c r="D291" s="365"/>
      <c r="E291" s="365"/>
      <c r="F291" s="365"/>
      <c r="G291" s="365"/>
      <c r="H291" s="383"/>
      <c r="I291" s="365"/>
      <c r="J291" s="383"/>
      <c r="K291" s="365"/>
      <c r="L291" s="365"/>
      <c r="M291" s="365"/>
      <c r="N291" s="383"/>
      <c r="O291" s="365"/>
      <c r="P291" s="365"/>
      <c r="Q291" s="365"/>
      <c r="R291" s="383"/>
      <c r="S291" s="365"/>
      <c r="T291" s="383"/>
      <c r="U291" s="365"/>
      <c r="V291" s="383"/>
      <c r="W291" s="365"/>
      <c r="X291" s="383"/>
      <c r="Y291" s="365"/>
      <c r="Z291" s="383"/>
      <c r="AA291" s="365"/>
      <c r="AB291" s="365"/>
      <c r="AC291" s="365"/>
      <c r="AD291" s="383"/>
      <c r="AE291" s="365"/>
      <c r="AF291" s="383"/>
      <c r="AG291" s="365"/>
      <c r="AH291" s="383"/>
      <c r="AI291" s="365"/>
      <c r="AJ291" s="383"/>
      <c r="AK291" s="365"/>
      <c r="AL291" s="383"/>
      <c r="AM291" s="353"/>
    </row>
    <row r="292" spans="1:39" s="352" customFormat="1">
      <c r="A292" s="364"/>
      <c r="B292" s="364"/>
      <c r="C292" s="365"/>
      <c r="D292" s="365"/>
      <c r="E292" s="365"/>
      <c r="F292" s="365"/>
      <c r="G292" s="365"/>
      <c r="H292" s="383"/>
      <c r="I292" s="365"/>
      <c r="J292" s="383"/>
      <c r="K292" s="365"/>
      <c r="L292" s="365"/>
      <c r="M292" s="365"/>
      <c r="N292" s="383"/>
      <c r="O292" s="365"/>
      <c r="P292" s="365"/>
      <c r="Q292" s="365"/>
      <c r="R292" s="383"/>
      <c r="S292" s="365"/>
      <c r="T292" s="383"/>
      <c r="U292" s="365"/>
      <c r="V292" s="383"/>
      <c r="W292" s="365"/>
      <c r="X292" s="383"/>
      <c r="Y292" s="365"/>
      <c r="Z292" s="383"/>
      <c r="AA292" s="365"/>
      <c r="AB292" s="365"/>
      <c r="AC292" s="365"/>
      <c r="AD292" s="383"/>
      <c r="AE292" s="365"/>
      <c r="AF292" s="383"/>
      <c r="AG292" s="365"/>
      <c r="AH292" s="383"/>
      <c r="AI292" s="365"/>
      <c r="AJ292" s="383"/>
      <c r="AK292" s="365"/>
      <c r="AL292" s="383"/>
      <c r="AM292" s="353"/>
    </row>
    <row r="293" spans="1:39" s="352" customFormat="1">
      <c r="A293" s="364"/>
      <c r="B293" s="364"/>
      <c r="C293" s="365"/>
      <c r="D293" s="365"/>
      <c r="E293" s="365"/>
      <c r="F293" s="365"/>
      <c r="G293" s="365"/>
      <c r="H293" s="383"/>
      <c r="I293" s="365"/>
      <c r="J293" s="383"/>
      <c r="K293" s="365"/>
      <c r="L293" s="365"/>
      <c r="M293" s="365"/>
      <c r="N293" s="383"/>
      <c r="O293" s="365"/>
      <c r="P293" s="365"/>
      <c r="Q293" s="365"/>
      <c r="R293" s="383"/>
      <c r="S293" s="365"/>
      <c r="T293" s="383"/>
      <c r="U293" s="365"/>
      <c r="V293" s="383"/>
      <c r="W293" s="365"/>
      <c r="X293" s="383"/>
      <c r="Y293" s="365"/>
      <c r="Z293" s="383"/>
      <c r="AA293" s="365"/>
      <c r="AB293" s="365"/>
      <c r="AC293" s="365"/>
      <c r="AD293" s="383"/>
      <c r="AE293" s="365"/>
      <c r="AF293" s="383"/>
      <c r="AG293" s="365"/>
      <c r="AH293" s="383"/>
      <c r="AI293" s="365"/>
      <c r="AJ293" s="383"/>
      <c r="AK293" s="365"/>
      <c r="AL293" s="383"/>
      <c r="AM293" s="353"/>
    </row>
    <row r="294" spans="1:39" s="352" customFormat="1">
      <c r="A294" s="364"/>
      <c r="B294" s="364"/>
      <c r="C294" s="365"/>
      <c r="D294" s="365"/>
      <c r="E294" s="365"/>
      <c r="F294" s="365"/>
      <c r="G294" s="365"/>
      <c r="H294" s="383"/>
      <c r="I294" s="365"/>
      <c r="J294" s="383"/>
      <c r="K294" s="365"/>
      <c r="L294" s="365"/>
      <c r="M294" s="365"/>
      <c r="N294" s="383"/>
      <c r="O294" s="365"/>
      <c r="P294" s="365"/>
      <c r="Q294" s="365"/>
      <c r="R294" s="383"/>
      <c r="S294" s="365"/>
      <c r="T294" s="383"/>
      <c r="U294" s="365"/>
      <c r="V294" s="383"/>
      <c r="W294" s="365"/>
      <c r="X294" s="383"/>
      <c r="Y294" s="365"/>
      <c r="Z294" s="383"/>
      <c r="AA294" s="365"/>
      <c r="AB294" s="365"/>
      <c r="AC294" s="365"/>
      <c r="AD294" s="383"/>
      <c r="AE294" s="365"/>
      <c r="AF294" s="383"/>
      <c r="AG294" s="365"/>
      <c r="AH294" s="383"/>
      <c r="AI294" s="365"/>
      <c r="AJ294" s="383"/>
      <c r="AK294" s="365"/>
      <c r="AL294" s="383"/>
      <c r="AM294" s="353"/>
    </row>
    <row r="295" spans="1:39" s="352" customFormat="1">
      <c r="A295" s="364"/>
      <c r="B295" s="364"/>
      <c r="C295" s="365"/>
      <c r="D295" s="365"/>
      <c r="E295" s="365"/>
      <c r="F295" s="365"/>
      <c r="G295" s="365"/>
      <c r="H295" s="383"/>
      <c r="I295" s="365"/>
      <c r="J295" s="383"/>
      <c r="K295" s="365"/>
      <c r="L295" s="365"/>
      <c r="M295" s="365"/>
      <c r="N295" s="383"/>
      <c r="O295" s="365"/>
      <c r="P295" s="365"/>
      <c r="Q295" s="365"/>
      <c r="R295" s="383"/>
      <c r="S295" s="365"/>
      <c r="T295" s="383"/>
      <c r="U295" s="365"/>
      <c r="V295" s="383"/>
      <c r="W295" s="365"/>
      <c r="X295" s="383"/>
      <c r="Y295" s="365"/>
      <c r="Z295" s="383"/>
      <c r="AA295" s="365"/>
      <c r="AB295" s="365"/>
      <c r="AC295" s="365"/>
      <c r="AD295" s="383"/>
      <c r="AE295" s="365"/>
      <c r="AF295" s="383"/>
      <c r="AG295" s="365"/>
      <c r="AH295" s="383"/>
      <c r="AI295" s="365"/>
      <c r="AJ295" s="383"/>
      <c r="AK295" s="365"/>
      <c r="AL295" s="383"/>
      <c r="AM295" s="353"/>
    </row>
    <row r="296" spans="1:39" s="352" customFormat="1">
      <c r="A296" s="364"/>
      <c r="B296" s="364"/>
      <c r="C296" s="365"/>
      <c r="D296" s="365"/>
      <c r="E296" s="365"/>
      <c r="F296" s="365"/>
      <c r="G296" s="365"/>
      <c r="H296" s="383"/>
      <c r="I296" s="365"/>
      <c r="J296" s="383"/>
      <c r="K296" s="365"/>
      <c r="L296" s="365"/>
      <c r="M296" s="365"/>
      <c r="N296" s="383"/>
      <c r="O296" s="365"/>
      <c r="P296" s="365"/>
      <c r="Q296" s="365"/>
      <c r="R296" s="383"/>
      <c r="S296" s="365"/>
      <c r="T296" s="383"/>
      <c r="U296" s="365"/>
      <c r="V296" s="383"/>
      <c r="W296" s="365"/>
      <c r="X296" s="383"/>
      <c r="Y296" s="365"/>
      <c r="Z296" s="383"/>
      <c r="AA296" s="365"/>
      <c r="AB296" s="365"/>
      <c r="AC296" s="365"/>
      <c r="AD296" s="383"/>
      <c r="AE296" s="365"/>
      <c r="AF296" s="383"/>
      <c r="AG296" s="365"/>
      <c r="AH296" s="383"/>
      <c r="AI296" s="365"/>
      <c r="AJ296" s="383"/>
      <c r="AK296" s="365"/>
      <c r="AL296" s="383"/>
      <c r="AM296" s="353"/>
    </row>
    <row r="297" spans="1:39" s="352" customFormat="1">
      <c r="A297" s="364"/>
      <c r="B297" s="364"/>
      <c r="C297" s="365"/>
      <c r="D297" s="365"/>
      <c r="E297" s="365"/>
      <c r="F297" s="365"/>
      <c r="G297" s="365"/>
      <c r="H297" s="383"/>
      <c r="I297" s="365"/>
      <c r="J297" s="383"/>
      <c r="K297" s="365"/>
      <c r="L297" s="365"/>
      <c r="M297" s="365"/>
      <c r="N297" s="383"/>
      <c r="O297" s="365"/>
      <c r="P297" s="365"/>
      <c r="Q297" s="365"/>
      <c r="R297" s="383"/>
      <c r="S297" s="365"/>
      <c r="T297" s="383"/>
      <c r="U297" s="365"/>
      <c r="V297" s="383"/>
      <c r="W297" s="365"/>
      <c r="X297" s="383"/>
      <c r="Y297" s="365"/>
      <c r="Z297" s="383"/>
      <c r="AA297" s="365"/>
      <c r="AB297" s="365"/>
      <c r="AC297" s="365"/>
      <c r="AD297" s="383"/>
      <c r="AE297" s="365"/>
      <c r="AF297" s="383"/>
      <c r="AG297" s="365"/>
      <c r="AH297" s="383"/>
      <c r="AI297" s="365"/>
      <c r="AJ297" s="383"/>
      <c r="AK297" s="365"/>
      <c r="AL297" s="383"/>
      <c r="AM297" s="353"/>
    </row>
    <row r="298" spans="1:39" s="352" customFormat="1">
      <c r="A298" s="364"/>
      <c r="B298" s="364"/>
      <c r="C298" s="365"/>
      <c r="D298" s="365"/>
      <c r="E298" s="365"/>
      <c r="F298" s="365"/>
      <c r="G298" s="365"/>
      <c r="H298" s="383"/>
      <c r="I298" s="365"/>
      <c r="J298" s="383"/>
      <c r="K298" s="365"/>
      <c r="L298" s="365"/>
      <c r="M298" s="365"/>
      <c r="N298" s="383"/>
      <c r="O298" s="365"/>
      <c r="P298" s="365"/>
      <c r="Q298" s="365"/>
      <c r="R298" s="383"/>
      <c r="S298" s="365"/>
      <c r="T298" s="383"/>
      <c r="U298" s="365"/>
      <c r="V298" s="383"/>
      <c r="W298" s="365"/>
      <c r="X298" s="383"/>
      <c r="Y298" s="365"/>
      <c r="Z298" s="383"/>
      <c r="AA298" s="365"/>
      <c r="AB298" s="365"/>
      <c r="AC298" s="365"/>
      <c r="AD298" s="383"/>
      <c r="AE298" s="365"/>
      <c r="AF298" s="383"/>
      <c r="AG298" s="365"/>
      <c r="AH298" s="383"/>
      <c r="AI298" s="365"/>
      <c r="AJ298" s="383"/>
      <c r="AK298" s="365"/>
      <c r="AL298" s="383"/>
      <c r="AM298" s="353"/>
    </row>
    <row r="299" spans="1:39" s="352" customFormat="1">
      <c r="A299" s="364"/>
      <c r="B299" s="364"/>
      <c r="C299" s="365"/>
      <c r="D299" s="365"/>
      <c r="E299" s="365"/>
      <c r="F299" s="365"/>
      <c r="G299" s="365"/>
      <c r="H299" s="383"/>
      <c r="I299" s="365"/>
      <c r="J299" s="383"/>
      <c r="K299" s="365"/>
      <c r="L299" s="365"/>
      <c r="M299" s="365"/>
      <c r="N299" s="383"/>
      <c r="O299" s="365"/>
      <c r="P299" s="365"/>
      <c r="Q299" s="365"/>
      <c r="R299" s="383"/>
      <c r="S299" s="365"/>
      <c r="T299" s="383"/>
      <c r="U299" s="365"/>
      <c r="V299" s="383"/>
      <c r="W299" s="365"/>
      <c r="X299" s="383"/>
      <c r="Y299" s="365"/>
      <c r="Z299" s="383"/>
      <c r="AA299" s="365"/>
      <c r="AB299" s="365"/>
      <c r="AC299" s="365"/>
      <c r="AD299" s="383"/>
      <c r="AE299" s="365"/>
      <c r="AF299" s="383"/>
      <c r="AG299" s="365"/>
      <c r="AH299" s="383"/>
      <c r="AI299" s="365"/>
      <c r="AJ299" s="383"/>
      <c r="AK299" s="365"/>
      <c r="AL299" s="383"/>
      <c r="AM299" s="353"/>
    </row>
    <row r="300" spans="1:39" s="352" customFormat="1">
      <c r="A300" s="364"/>
      <c r="B300" s="364"/>
      <c r="C300" s="365"/>
      <c r="D300" s="365"/>
      <c r="E300" s="365"/>
      <c r="F300" s="365"/>
      <c r="G300" s="365"/>
      <c r="H300" s="383"/>
      <c r="I300" s="365"/>
      <c r="J300" s="383"/>
      <c r="K300" s="365"/>
      <c r="L300" s="365"/>
      <c r="M300" s="365"/>
      <c r="N300" s="383"/>
      <c r="O300" s="365"/>
      <c r="P300" s="365"/>
      <c r="Q300" s="365"/>
      <c r="R300" s="383"/>
      <c r="S300" s="365"/>
      <c r="T300" s="383"/>
      <c r="U300" s="365"/>
      <c r="V300" s="383"/>
      <c r="W300" s="365"/>
      <c r="X300" s="383"/>
      <c r="Y300" s="365"/>
      <c r="Z300" s="383"/>
      <c r="AA300" s="365"/>
      <c r="AB300" s="365"/>
      <c r="AC300" s="365"/>
      <c r="AD300" s="383"/>
      <c r="AE300" s="365"/>
      <c r="AF300" s="383"/>
      <c r="AG300" s="365"/>
      <c r="AH300" s="383"/>
      <c r="AI300" s="365"/>
      <c r="AJ300" s="383"/>
      <c r="AK300" s="365"/>
      <c r="AL300" s="383"/>
      <c r="AM300" s="353"/>
    </row>
    <row r="301" spans="1:39" s="352" customFormat="1">
      <c r="A301" s="364"/>
      <c r="B301" s="364"/>
      <c r="C301" s="365"/>
      <c r="D301" s="365"/>
      <c r="E301" s="365"/>
      <c r="F301" s="365"/>
      <c r="G301" s="365"/>
      <c r="H301" s="383"/>
      <c r="I301" s="365"/>
      <c r="J301" s="383"/>
      <c r="K301" s="365"/>
      <c r="L301" s="365"/>
      <c r="M301" s="365"/>
      <c r="N301" s="383"/>
      <c r="O301" s="365"/>
      <c r="P301" s="365"/>
      <c r="Q301" s="365"/>
      <c r="R301" s="383"/>
      <c r="S301" s="365"/>
      <c r="T301" s="383"/>
      <c r="U301" s="365"/>
      <c r="V301" s="383"/>
      <c r="W301" s="365"/>
      <c r="X301" s="383"/>
      <c r="Y301" s="365"/>
      <c r="Z301" s="383"/>
      <c r="AA301" s="365"/>
      <c r="AB301" s="365"/>
      <c r="AC301" s="365"/>
      <c r="AD301" s="383"/>
      <c r="AE301" s="365"/>
      <c r="AF301" s="383"/>
      <c r="AG301" s="365"/>
      <c r="AH301" s="383"/>
      <c r="AI301" s="365"/>
      <c r="AJ301" s="383"/>
      <c r="AK301" s="365"/>
      <c r="AL301" s="383"/>
      <c r="AM301" s="353"/>
    </row>
    <row r="302" spans="1:39" s="352" customFormat="1">
      <c r="A302" s="364"/>
      <c r="B302" s="364"/>
      <c r="C302" s="365"/>
      <c r="D302" s="365"/>
      <c r="E302" s="365"/>
      <c r="F302" s="365"/>
      <c r="G302" s="365"/>
      <c r="H302" s="383"/>
      <c r="I302" s="365"/>
      <c r="J302" s="383"/>
      <c r="K302" s="365"/>
      <c r="L302" s="365"/>
      <c r="M302" s="365"/>
      <c r="N302" s="383"/>
      <c r="O302" s="365"/>
      <c r="P302" s="365"/>
      <c r="Q302" s="365"/>
      <c r="R302" s="383"/>
      <c r="S302" s="365"/>
      <c r="T302" s="383"/>
      <c r="U302" s="365"/>
      <c r="V302" s="383"/>
      <c r="W302" s="365"/>
      <c r="X302" s="383"/>
      <c r="Y302" s="365"/>
      <c r="Z302" s="383"/>
      <c r="AA302" s="365"/>
      <c r="AB302" s="365"/>
      <c r="AC302" s="365"/>
      <c r="AD302" s="383"/>
      <c r="AE302" s="365"/>
      <c r="AF302" s="383"/>
      <c r="AG302" s="365"/>
      <c r="AH302" s="383"/>
      <c r="AI302" s="365"/>
      <c r="AJ302" s="383"/>
      <c r="AK302" s="365"/>
      <c r="AL302" s="383"/>
      <c r="AM302" s="353"/>
    </row>
    <row r="303" spans="1:39" s="352" customFormat="1">
      <c r="A303" s="364"/>
      <c r="B303" s="364"/>
      <c r="C303" s="365"/>
      <c r="D303" s="365"/>
      <c r="E303" s="365"/>
      <c r="F303" s="365"/>
      <c r="G303" s="365"/>
      <c r="H303" s="383"/>
      <c r="I303" s="365"/>
      <c r="J303" s="383"/>
      <c r="K303" s="365"/>
      <c r="L303" s="365"/>
      <c r="M303" s="365"/>
      <c r="N303" s="383"/>
      <c r="O303" s="365"/>
      <c r="P303" s="365"/>
      <c r="Q303" s="365"/>
      <c r="R303" s="383"/>
      <c r="S303" s="365"/>
      <c r="T303" s="383"/>
      <c r="U303" s="365"/>
      <c r="V303" s="383"/>
      <c r="W303" s="365"/>
      <c r="X303" s="383"/>
      <c r="Y303" s="365"/>
      <c r="Z303" s="383"/>
      <c r="AA303" s="365"/>
      <c r="AB303" s="365"/>
      <c r="AC303" s="365"/>
      <c r="AD303" s="383"/>
      <c r="AE303" s="365"/>
      <c r="AF303" s="383"/>
      <c r="AG303" s="365"/>
      <c r="AH303" s="383"/>
      <c r="AI303" s="365"/>
      <c r="AJ303" s="383"/>
      <c r="AK303" s="365"/>
      <c r="AL303" s="383"/>
      <c r="AM303" s="353"/>
    </row>
    <row r="304" spans="1:39" s="352" customFormat="1">
      <c r="A304" s="364"/>
      <c r="B304" s="364"/>
      <c r="C304" s="365"/>
      <c r="D304" s="365"/>
      <c r="E304" s="365"/>
      <c r="F304" s="365"/>
      <c r="G304" s="365"/>
      <c r="H304" s="383"/>
      <c r="I304" s="365"/>
      <c r="J304" s="383"/>
      <c r="K304" s="365"/>
      <c r="L304" s="365"/>
      <c r="M304" s="365"/>
      <c r="N304" s="383"/>
      <c r="O304" s="365"/>
      <c r="P304" s="365"/>
      <c r="Q304" s="365"/>
      <c r="R304" s="383"/>
      <c r="S304" s="365"/>
      <c r="T304" s="383"/>
      <c r="U304" s="365"/>
      <c r="V304" s="383"/>
      <c r="W304" s="365"/>
      <c r="X304" s="383"/>
      <c r="Y304" s="365"/>
      <c r="Z304" s="383"/>
      <c r="AA304" s="365"/>
      <c r="AB304" s="365"/>
      <c r="AC304" s="365"/>
      <c r="AD304" s="383"/>
      <c r="AE304" s="365"/>
      <c r="AF304" s="383"/>
      <c r="AG304" s="365"/>
      <c r="AH304" s="383"/>
      <c r="AI304" s="365"/>
      <c r="AJ304" s="383"/>
      <c r="AK304" s="365"/>
      <c r="AL304" s="383"/>
      <c r="AM304" s="353"/>
    </row>
    <row r="305" spans="1:39" s="352" customFormat="1">
      <c r="A305" s="364"/>
      <c r="B305" s="364"/>
      <c r="C305" s="365"/>
      <c r="D305" s="365"/>
      <c r="E305" s="365"/>
      <c r="F305" s="365"/>
      <c r="G305" s="365"/>
      <c r="H305" s="383"/>
      <c r="I305" s="365"/>
      <c r="J305" s="383"/>
      <c r="K305" s="365"/>
      <c r="L305" s="365"/>
      <c r="M305" s="365"/>
      <c r="N305" s="383"/>
      <c r="O305" s="365"/>
      <c r="P305" s="365"/>
      <c r="Q305" s="365"/>
      <c r="R305" s="383"/>
      <c r="S305" s="365"/>
      <c r="T305" s="383"/>
      <c r="U305" s="365"/>
      <c r="V305" s="383"/>
      <c r="W305" s="365"/>
      <c r="X305" s="383"/>
      <c r="Y305" s="365"/>
      <c r="Z305" s="383"/>
      <c r="AA305" s="365"/>
      <c r="AB305" s="365"/>
      <c r="AC305" s="365"/>
      <c r="AD305" s="383"/>
      <c r="AE305" s="365"/>
      <c r="AF305" s="383"/>
      <c r="AG305" s="365"/>
      <c r="AH305" s="383"/>
      <c r="AI305" s="365"/>
      <c r="AJ305" s="383"/>
      <c r="AK305" s="365"/>
      <c r="AL305" s="383"/>
      <c r="AM305" s="353"/>
    </row>
    <row r="306" spans="1:39" s="352" customFormat="1">
      <c r="A306" s="364"/>
      <c r="B306" s="364"/>
      <c r="C306" s="365"/>
      <c r="D306" s="365"/>
      <c r="E306" s="365"/>
      <c r="F306" s="365"/>
      <c r="G306" s="365"/>
      <c r="H306" s="383"/>
      <c r="I306" s="365"/>
      <c r="J306" s="383"/>
      <c r="K306" s="365"/>
      <c r="L306" s="365"/>
      <c r="M306" s="365"/>
      <c r="N306" s="383"/>
      <c r="O306" s="365"/>
      <c r="P306" s="365"/>
      <c r="Q306" s="365"/>
      <c r="R306" s="383"/>
      <c r="S306" s="365"/>
      <c r="T306" s="383"/>
      <c r="U306" s="365"/>
      <c r="V306" s="383"/>
      <c r="W306" s="365"/>
      <c r="X306" s="383"/>
      <c r="Y306" s="365"/>
      <c r="Z306" s="383"/>
      <c r="AA306" s="365"/>
      <c r="AB306" s="365"/>
      <c r="AC306" s="365"/>
      <c r="AD306" s="383"/>
      <c r="AE306" s="365"/>
      <c r="AF306" s="383"/>
      <c r="AG306" s="365"/>
      <c r="AH306" s="383"/>
      <c r="AI306" s="365"/>
      <c r="AJ306" s="383"/>
      <c r="AK306" s="365"/>
      <c r="AL306" s="383"/>
      <c r="AM306" s="353"/>
    </row>
    <row r="307" spans="1:39" s="352" customFormat="1">
      <c r="A307" s="364"/>
      <c r="B307" s="364"/>
      <c r="C307" s="365"/>
      <c r="D307" s="365"/>
      <c r="E307" s="365"/>
      <c r="F307" s="365"/>
      <c r="G307" s="365"/>
      <c r="H307" s="383"/>
      <c r="I307" s="365"/>
      <c r="J307" s="383"/>
      <c r="K307" s="365"/>
      <c r="L307" s="365"/>
      <c r="M307" s="365"/>
      <c r="N307" s="383"/>
      <c r="O307" s="365"/>
      <c r="P307" s="365"/>
      <c r="Q307" s="365"/>
      <c r="R307" s="383"/>
      <c r="S307" s="365"/>
      <c r="T307" s="383"/>
      <c r="U307" s="365"/>
      <c r="V307" s="383"/>
      <c r="W307" s="365"/>
      <c r="X307" s="383"/>
      <c r="Y307" s="365"/>
      <c r="Z307" s="383"/>
      <c r="AA307" s="365"/>
      <c r="AB307" s="365"/>
      <c r="AC307" s="365"/>
      <c r="AD307" s="383"/>
      <c r="AE307" s="365"/>
      <c r="AF307" s="383"/>
      <c r="AG307" s="365"/>
      <c r="AH307" s="383"/>
      <c r="AI307" s="365"/>
      <c r="AJ307" s="383"/>
      <c r="AK307" s="365"/>
      <c r="AL307" s="383"/>
      <c r="AM307" s="353"/>
    </row>
    <row r="308" spans="1:39" s="352" customFormat="1">
      <c r="A308" s="364"/>
      <c r="B308" s="364"/>
      <c r="C308" s="365"/>
      <c r="D308" s="365"/>
      <c r="E308" s="365"/>
      <c r="F308" s="365"/>
      <c r="G308" s="365"/>
      <c r="H308" s="383"/>
      <c r="I308" s="365"/>
      <c r="J308" s="383"/>
      <c r="K308" s="365"/>
      <c r="L308" s="365"/>
      <c r="M308" s="365"/>
      <c r="N308" s="383"/>
      <c r="O308" s="365"/>
      <c r="P308" s="365"/>
      <c r="Q308" s="365"/>
      <c r="R308" s="383"/>
      <c r="S308" s="365"/>
      <c r="T308" s="383"/>
      <c r="U308" s="365"/>
      <c r="V308" s="383"/>
      <c r="W308" s="365"/>
      <c r="X308" s="383"/>
      <c r="Y308" s="365"/>
      <c r="Z308" s="383"/>
      <c r="AA308" s="365"/>
      <c r="AB308" s="365"/>
      <c r="AC308" s="365"/>
      <c r="AD308" s="383"/>
      <c r="AE308" s="365"/>
      <c r="AF308" s="383"/>
      <c r="AG308" s="365"/>
      <c r="AH308" s="383"/>
      <c r="AI308" s="365"/>
      <c r="AJ308" s="383"/>
      <c r="AK308" s="365"/>
      <c r="AL308" s="383"/>
      <c r="AM308" s="353"/>
    </row>
    <row r="309" spans="1:39" s="352" customFormat="1">
      <c r="A309" s="364"/>
      <c r="B309" s="364"/>
      <c r="C309" s="365"/>
      <c r="D309" s="365"/>
      <c r="E309" s="365"/>
      <c r="F309" s="365"/>
      <c r="G309" s="365"/>
      <c r="H309" s="383"/>
      <c r="I309" s="365"/>
      <c r="J309" s="383"/>
      <c r="K309" s="365"/>
      <c r="L309" s="365"/>
      <c r="M309" s="365"/>
      <c r="N309" s="383"/>
      <c r="O309" s="365"/>
      <c r="P309" s="365"/>
      <c r="Q309" s="365"/>
      <c r="R309" s="383"/>
      <c r="S309" s="365"/>
      <c r="T309" s="383"/>
      <c r="U309" s="365"/>
      <c r="V309" s="383"/>
      <c r="W309" s="365"/>
      <c r="X309" s="383"/>
      <c r="Y309" s="365"/>
      <c r="Z309" s="383"/>
      <c r="AA309" s="365"/>
      <c r="AB309" s="365"/>
      <c r="AC309" s="365"/>
      <c r="AD309" s="383"/>
      <c r="AE309" s="365"/>
      <c r="AF309" s="383"/>
      <c r="AG309" s="365"/>
      <c r="AH309" s="383"/>
      <c r="AI309" s="365"/>
      <c r="AJ309" s="383"/>
      <c r="AK309" s="365"/>
      <c r="AL309" s="383"/>
      <c r="AM309" s="353"/>
    </row>
    <row r="310" spans="1:39" s="352" customFormat="1">
      <c r="A310" s="364"/>
      <c r="B310" s="364"/>
      <c r="C310" s="365"/>
      <c r="D310" s="365"/>
      <c r="E310" s="365"/>
      <c r="F310" s="365"/>
      <c r="G310" s="365"/>
      <c r="H310" s="383"/>
      <c r="I310" s="365"/>
      <c r="J310" s="383"/>
      <c r="K310" s="365"/>
      <c r="L310" s="365"/>
      <c r="M310" s="365"/>
      <c r="N310" s="383"/>
      <c r="O310" s="365"/>
      <c r="P310" s="365"/>
      <c r="Q310" s="365"/>
      <c r="R310" s="383"/>
      <c r="S310" s="365"/>
      <c r="T310" s="383"/>
      <c r="U310" s="365"/>
      <c r="V310" s="383"/>
      <c r="W310" s="365"/>
      <c r="X310" s="383"/>
      <c r="Y310" s="365"/>
      <c r="Z310" s="383"/>
      <c r="AA310" s="365"/>
      <c r="AB310" s="365"/>
      <c r="AC310" s="365"/>
      <c r="AD310" s="383"/>
      <c r="AE310" s="365"/>
      <c r="AF310" s="383"/>
      <c r="AG310" s="365"/>
      <c r="AH310" s="383"/>
      <c r="AI310" s="365"/>
      <c r="AJ310" s="383"/>
      <c r="AK310" s="365"/>
      <c r="AL310" s="383"/>
      <c r="AM310" s="353"/>
    </row>
    <row r="311" spans="1:39" s="352" customFormat="1">
      <c r="A311" s="364"/>
      <c r="B311" s="364"/>
      <c r="C311" s="365"/>
      <c r="D311" s="365"/>
      <c r="E311" s="365"/>
      <c r="F311" s="365"/>
      <c r="G311" s="365"/>
      <c r="H311" s="383"/>
      <c r="I311" s="365"/>
      <c r="J311" s="383"/>
      <c r="K311" s="365"/>
      <c r="L311" s="365"/>
      <c r="M311" s="365"/>
      <c r="N311" s="383"/>
      <c r="O311" s="365"/>
      <c r="P311" s="365"/>
      <c r="Q311" s="365"/>
      <c r="R311" s="383"/>
      <c r="S311" s="365"/>
      <c r="T311" s="383"/>
      <c r="U311" s="365"/>
      <c r="V311" s="383"/>
      <c r="W311" s="365"/>
      <c r="X311" s="383"/>
      <c r="Y311" s="365"/>
      <c r="Z311" s="383"/>
      <c r="AA311" s="365"/>
      <c r="AB311" s="365"/>
      <c r="AC311" s="365"/>
      <c r="AD311" s="383"/>
      <c r="AE311" s="365"/>
      <c r="AF311" s="383"/>
      <c r="AG311" s="365"/>
      <c r="AH311" s="383"/>
      <c r="AI311" s="365"/>
      <c r="AJ311" s="383"/>
      <c r="AK311" s="365"/>
      <c r="AL311" s="383"/>
      <c r="AM311" s="353"/>
    </row>
    <row r="312" spans="1:39" s="352" customFormat="1">
      <c r="A312" s="364"/>
      <c r="B312" s="364"/>
      <c r="C312" s="365"/>
      <c r="D312" s="365"/>
      <c r="E312" s="365"/>
      <c r="F312" s="365"/>
      <c r="G312" s="365"/>
      <c r="H312" s="383"/>
      <c r="I312" s="365"/>
      <c r="J312" s="383"/>
      <c r="K312" s="365"/>
      <c r="L312" s="365"/>
      <c r="M312" s="365"/>
      <c r="N312" s="383"/>
      <c r="O312" s="365"/>
      <c r="P312" s="365"/>
      <c r="Q312" s="365"/>
      <c r="R312" s="383"/>
      <c r="S312" s="365"/>
      <c r="T312" s="383"/>
      <c r="U312" s="365"/>
      <c r="V312" s="383"/>
      <c r="W312" s="365"/>
      <c r="X312" s="383"/>
      <c r="Y312" s="365"/>
      <c r="Z312" s="383"/>
      <c r="AA312" s="365"/>
      <c r="AB312" s="365"/>
      <c r="AC312" s="365"/>
      <c r="AD312" s="383"/>
      <c r="AE312" s="365"/>
      <c r="AF312" s="383"/>
      <c r="AG312" s="365"/>
      <c r="AH312" s="383"/>
      <c r="AI312" s="365"/>
      <c r="AJ312" s="383"/>
      <c r="AK312" s="365"/>
      <c r="AL312" s="383"/>
      <c r="AM312" s="353"/>
    </row>
    <row r="313" spans="1:39" s="352" customFormat="1">
      <c r="A313" s="364"/>
      <c r="B313" s="364"/>
      <c r="C313" s="365"/>
      <c r="D313" s="365"/>
      <c r="E313" s="365"/>
      <c r="F313" s="365"/>
      <c r="G313" s="365"/>
      <c r="H313" s="383"/>
      <c r="I313" s="365"/>
      <c r="J313" s="383"/>
      <c r="K313" s="365"/>
      <c r="L313" s="365"/>
      <c r="M313" s="365"/>
      <c r="N313" s="383"/>
      <c r="O313" s="365"/>
      <c r="P313" s="365"/>
      <c r="Q313" s="365"/>
      <c r="R313" s="383"/>
      <c r="S313" s="365"/>
      <c r="T313" s="383"/>
      <c r="U313" s="365"/>
      <c r="V313" s="383"/>
      <c r="W313" s="365"/>
      <c r="X313" s="383"/>
      <c r="Y313" s="365"/>
      <c r="Z313" s="383"/>
      <c r="AA313" s="365"/>
      <c r="AB313" s="365"/>
      <c r="AC313" s="365"/>
      <c r="AD313" s="383"/>
      <c r="AE313" s="365"/>
      <c r="AF313" s="383"/>
      <c r="AG313" s="365"/>
      <c r="AH313" s="383"/>
      <c r="AI313" s="365"/>
      <c r="AJ313" s="383"/>
      <c r="AK313" s="365"/>
      <c r="AL313" s="383"/>
      <c r="AM313" s="353"/>
    </row>
    <row r="314" spans="1:39" s="352" customFormat="1">
      <c r="A314" s="364"/>
      <c r="B314" s="364"/>
      <c r="C314" s="365"/>
      <c r="D314" s="365"/>
      <c r="E314" s="365"/>
      <c r="F314" s="365"/>
      <c r="G314" s="365"/>
      <c r="H314" s="383"/>
      <c r="I314" s="365"/>
      <c r="J314" s="383"/>
      <c r="K314" s="365"/>
      <c r="L314" s="365"/>
      <c r="M314" s="365"/>
      <c r="N314" s="383"/>
      <c r="O314" s="365"/>
      <c r="P314" s="365"/>
      <c r="Q314" s="365"/>
      <c r="R314" s="383"/>
      <c r="S314" s="365"/>
      <c r="T314" s="383"/>
      <c r="U314" s="365"/>
      <c r="V314" s="383"/>
      <c r="W314" s="365"/>
      <c r="X314" s="383"/>
      <c r="Y314" s="365"/>
      <c r="Z314" s="383"/>
      <c r="AA314" s="365"/>
      <c r="AB314" s="365"/>
      <c r="AC314" s="365"/>
      <c r="AD314" s="383"/>
      <c r="AE314" s="365"/>
      <c r="AF314" s="383"/>
      <c r="AG314" s="365"/>
      <c r="AH314" s="383"/>
      <c r="AI314" s="365"/>
      <c r="AJ314" s="383"/>
      <c r="AK314" s="365"/>
      <c r="AL314" s="383"/>
      <c r="AM314" s="353"/>
    </row>
    <row r="315" spans="1:39" s="352" customFormat="1">
      <c r="A315" s="364"/>
      <c r="B315" s="364"/>
      <c r="C315" s="365"/>
      <c r="D315" s="365"/>
      <c r="E315" s="365"/>
      <c r="F315" s="365"/>
      <c r="G315" s="365"/>
      <c r="H315" s="383"/>
      <c r="I315" s="365"/>
      <c r="J315" s="383"/>
      <c r="K315" s="365"/>
      <c r="L315" s="365"/>
      <c r="M315" s="365"/>
      <c r="N315" s="383"/>
      <c r="O315" s="365"/>
      <c r="P315" s="365"/>
      <c r="Q315" s="365"/>
      <c r="R315" s="383"/>
      <c r="S315" s="365"/>
      <c r="T315" s="383"/>
      <c r="U315" s="365"/>
      <c r="V315" s="383"/>
      <c r="W315" s="365"/>
      <c r="X315" s="383"/>
      <c r="Y315" s="365"/>
      <c r="Z315" s="383"/>
      <c r="AA315" s="365"/>
      <c r="AB315" s="365"/>
      <c r="AC315" s="365"/>
      <c r="AD315" s="383"/>
      <c r="AE315" s="365"/>
      <c r="AF315" s="383"/>
      <c r="AG315" s="365"/>
      <c r="AH315" s="383"/>
      <c r="AI315" s="365"/>
      <c r="AJ315" s="383"/>
      <c r="AK315" s="365"/>
      <c r="AL315" s="383"/>
      <c r="AM315" s="353"/>
    </row>
    <row r="316" spans="1:39" s="352" customFormat="1">
      <c r="A316" s="364"/>
      <c r="B316" s="364"/>
      <c r="C316" s="365"/>
      <c r="D316" s="365"/>
      <c r="E316" s="365"/>
      <c r="F316" s="365"/>
      <c r="G316" s="365"/>
      <c r="H316" s="383"/>
      <c r="I316" s="365"/>
      <c r="J316" s="383"/>
      <c r="K316" s="365"/>
      <c r="L316" s="365"/>
      <c r="M316" s="365"/>
      <c r="N316" s="383"/>
      <c r="O316" s="365"/>
      <c r="P316" s="365"/>
      <c r="Q316" s="365"/>
      <c r="R316" s="383"/>
      <c r="S316" s="365"/>
      <c r="T316" s="383"/>
      <c r="U316" s="365"/>
      <c r="V316" s="383"/>
      <c r="W316" s="365"/>
      <c r="X316" s="383"/>
      <c r="Y316" s="365"/>
      <c r="Z316" s="383"/>
      <c r="AA316" s="365"/>
      <c r="AB316" s="365"/>
      <c r="AC316" s="365"/>
      <c r="AD316" s="383"/>
      <c r="AE316" s="365"/>
      <c r="AF316" s="383"/>
      <c r="AG316" s="365"/>
      <c r="AH316" s="383"/>
      <c r="AI316" s="365"/>
      <c r="AJ316" s="383"/>
      <c r="AK316" s="365"/>
      <c r="AL316" s="383"/>
      <c r="AM316" s="353"/>
    </row>
    <row r="317" spans="1:39" s="352" customFormat="1">
      <c r="A317" s="364"/>
      <c r="B317" s="364"/>
      <c r="C317" s="365"/>
      <c r="D317" s="365"/>
      <c r="E317" s="365"/>
      <c r="F317" s="365"/>
      <c r="G317" s="365"/>
      <c r="H317" s="383"/>
      <c r="I317" s="365"/>
      <c r="J317" s="383"/>
      <c r="K317" s="365"/>
      <c r="L317" s="365"/>
      <c r="M317" s="365"/>
      <c r="N317" s="383"/>
      <c r="O317" s="365"/>
      <c r="P317" s="365"/>
      <c r="Q317" s="365"/>
      <c r="R317" s="383"/>
      <c r="S317" s="365"/>
      <c r="T317" s="383"/>
      <c r="U317" s="365"/>
      <c r="V317" s="383"/>
      <c r="W317" s="365"/>
      <c r="X317" s="383"/>
      <c r="Y317" s="365"/>
      <c r="Z317" s="383"/>
      <c r="AA317" s="365"/>
      <c r="AB317" s="365"/>
      <c r="AC317" s="365"/>
      <c r="AD317" s="383"/>
      <c r="AE317" s="365"/>
      <c r="AF317" s="383"/>
      <c r="AG317" s="365"/>
      <c r="AH317" s="383"/>
      <c r="AI317" s="365"/>
      <c r="AJ317" s="383"/>
      <c r="AK317" s="365"/>
      <c r="AL317" s="383"/>
      <c r="AM317" s="353"/>
    </row>
    <row r="318" spans="1:39" s="352" customFormat="1">
      <c r="A318" s="364"/>
      <c r="B318" s="364"/>
      <c r="C318" s="365"/>
      <c r="D318" s="365"/>
      <c r="E318" s="365"/>
      <c r="F318" s="365"/>
      <c r="G318" s="365"/>
      <c r="H318" s="383"/>
      <c r="I318" s="365"/>
      <c r="J318" s="383"/>
      <c r="K318" s="365"/>
      <c r="L318" s="365"/>
      <c r="M318" s="365"/>
      <c r="N318" s="383"/>
      <c r="O318" s="365"/>
      <c r="P318" s="365"/>
      <c r="Q318" s="365"/>
      <c r="R318" s="383"/>
      <c r="S318" s="365"/>
      <c r="T318" s="383"/>
      <c r="U318" s="365"/>
      <c r="V318" s="383"/>
      <c r="W318" s="365"/>
      <c r="X318" s="383"/>
      <c r="Y318" s="365"/>
      <c r="Z318" s="383"/>
      <c r="AA318" s="365"/>
      <c r="AB318" s="365"/>
      <c r="AC318" s="365"/>
      <c r="AD318" s="383"/>
      <c r="AE318" s="365"/>
      <c r="AF318" s="383"/>
      <c r="AG318" s="365"/>
      <c r="AH318" s="383"/>
      <c r="AI318" s="365"/>
      <c r="AJ318" s="383"/>
      <c r="AK318" s="365"/>
      <c r="AL318" s="383"/>
      <c r="AM318" s="353"/>
    </row>
    <row r="319" spans="1:39" s="352" customFormat="1">
      <c r="A319" s="364"/>
      <c r="B319" s="364"/>
      <c r="C319" s="365"/>
      <c r="D319" s="365"/>
      <c r="E319" s="365"/>
      <c r="F319" s="365"/>
      <c r="G319" s="365"/>
      <c r="H319" s="383"/>
      <c r="I319" s="365"/>
      <c r="J319" s="383"/>
      <c r="K319" s="365"/>
      <c r="L319" s="365"/>
      <c r="M319" s="365"/>
      <c r="N319" s="383"/>
      <c r="O319" s="365"/>
      <c r="P319" s="365"/>
      <c r="Q319" s="365"/>
      <c r="R319" s="383"/>
      <c r="S319" s="365"/>
      <c r="T319" s="383"/>
      <c r="U319" s="365"/>
      <c r="V319" s="383"/>
      <c r="W319" s="365"/>
      <c r="X319" s="383"/>
      <c r="Y319" s="365"/>
      <c r="Z319" s="383"/>
      <c r="AA319" s="365"/>
      <c r="AB319" s="365"/>
      <c r="AC319" s="365"/>
      <c r="AD319" s="383"/>
      <c r="AE319" s="365"/>
      <c r="AF319" s="383"/>
      <c r="AG319" s="365"/>
      <c r="AH319" s="383"/>
      <c r="AI319" s="365"/>
      <c r="AJ319" s="383"/>
      <c r="AK319" s="365"/>
      <c r="AL319" s="383"/>
      <c r="AM319" s="353"/>
    </row>
    <row r="320" spans="1:39" s="352" customFormat="1">
      <c r="A320" s="364"/>
      <c r="B320" s="364"/>
      <c r="C320" s="365"/>
      <c r="D320" s="365"/>
      <c r="E320" s="365"/>
      <c r="F320" s="365"/>
      <c r="G320" s="365"/>
      <c r="H320" s="383"/>
      <c r="I320" s="365"/>
      <c r="J320" s="383"/>
      <c r="K320" s="365"/>
      <c r="L320" s="365"/>
      <c r="M320" s="365"/>
      <c r="N320" s="383"/>
      <c r="O320" s="365"/>
      <c r="P320" s="365"/>
      <c r="Q320" s="365"/>
      <c r="R320" s="383"/>
      <c r="S320" s="365"/>
      <c r="T320" s="383"/>
      <c r="U320" s="365"/>
      <c r="V320" s="383"/>
      <c r="W320" s="365"/>
      <c r="X320" s="383"/>
      <c r="Y320" s="365"/>
      <c r="Z320" s="383"/>
      <c r="AA320" s="365"/>
      <c r="AB320" s="365"/>
      <c r="AC320" s="365"/>
      <c r="AD320" s="383"/>
      <c r="AE320" s="365"/>
      <c r="AF320" s="383"/>
      <c r="AG320" s="365"/>
      <c r="AH320" s="383"/>
      <c r="AI320" s="365"/>
      <c r="AJ320" s="383"/>
      <c r="AK320" s="365"/>
      <c r="AL320" s="383"/>
      <c r="AM320" s="353"/>
    </row>
    <row r="321" spans="1:39" s="352" customFormat="1">
      <c r="A321" s="364"/>
      <c r="B321" s="364"/>
      <c r="C321" s="365"/>
      <c r="D321" s="365"/>
      <c r="E321" s="365"/>
      <c r="F321" s="365"/>
      <c r="G321" s="365"/>
      <c r="H321" s="383"/>
      <c r="I321" s="365"/>
      <c r="J321" s="383"/>
      <c r="K321" s="365"/>
      <c r="L321" s="365"/>
      <c r="M321" s="365"/>
      <c r="N321" s="383"/>
      <c r="O321" s="365"/>
      <c r="P321" s="365"/>
      <c r="Q321" s="365"/>
      <c r="R321" s="383"/>
      <c r="S321" s="365"/>
      <c r="T321" s="383"/>
      <c r="U321" s="365"/>
      <c r="V321" s="383"/>
      <c r="W321" s="365"/>
      <c r="X321" s="383"/>
      <c r="Y321" s="365"/>
      <c r="Z321" s="383"/>
      <c r="AA321" s="365"/>
      <c r="AB321" s="365"/>
      <c r="AC321" s="365"/>
      <c r="AD321" s="383"/>
      <c r="AE321" s="365"/>
      <c r="AF321" s="383"/>
      <c r="AG321" s="365"/>
      <c r="AH321" s="383"/>
      <c r="AI321" s="365"/>
      <c r="AJ321" s="383"/>
      <c r="AK321" s="365"/>
      <c r="AL321" s="383"/>
      <c r="AM321" s="353"/>
    </row>
    <row r="322" spans="1:39" s="352" customFormat="1">
      <c r="A322" s="364"/>
      <c r="B322" s="364"/>
      <c r="C322" s="365"/>
      <c r="D322" s="365"/>
      <c r="E322" s="365"/>
      <c r="F322" s="365"/>
      <c r="G322" s="365"/>
      <c r="H322" s="383"/>
      <c r="I322" s="365"/>
      <c r="J322" s="383"/>
      <c r="K322" s="365"/>
      <c r="L322" s="365"/>
      <c r="M322" s="365"/>
      <c r="N322" s="383"/>
      <c r="O322" s="365"/>
      <c r="P322" s="365"/>
      <c r="Q322" s="365"/>
      <c r="R322" s="383"/>
      <c r="S322" s="365"/>
      <c r="T322" s="383"/>
      <c r="U322" s="365"/>
      <c r="V322" s="383"/>
      <c r="W322" s="365"/>
      <c r="X322" s="383"/>
      <c r="Y322" s="365"/>
      <c r="Z322" s="383"/>
      <c r="AA322" s="365"/>
      <c r="AB322" s="365"/>
      <c r="AC322" s="365"/>
      <c r="AD322" s="383"/>
      <c r="AE322" s="365"/>
      <c r="AF322" s="383"/>
      <c r="AG322" s="365"/>
      <c r="AH322" s="383"/>
      <c r="AI322" s="365"/>
      <c r="AJ322" s="383"/>
      <c r="AK322" s="365"/>
      <c r="AL322" s="383"/>
      <c r="AM322" s="353"/>
    </row>
    <row r="323" spans="1:39" s="352" customFormat="1">
      <c r="A323" s="364"/>
      <c r="B323" s="364"/>
      <c r="C323" s="365"/>
      <c r="D323" s="365"/>
      <c r="E323" s="365"/>
      <c r="F323" s="365"/>
      <c r="G323" s="365"/>
      <c r="H323" s="383"/>
      <c r="I323" s="365"/>
      <c r="J323" s="383"/>
      <c r="K323" s="365"/>
      <c r="L323" s="365"/>
      <c r="M323" s="365"/>
      <c r="N323" s="383"/>
      <c r="O323" s="365"/>
      <c r="P323" s="365"/>
      <c r="Q323" s="365"/>
      <c r="R323" s="383"/>
      <c r="S323" s="365"/>
      <c r="T323" s="383"/>
      <c r="U323" s="365"/>
      <c r="V323" s="383"/>
      <c r="W323" s="365"/>
      <c r="X323" s="383"/>
      <c r="Y323" s="365"/>
      <c r="Z323" s="383"/>
      <c r="AA323" s="365"/>
      <c r="AB323" s="365"/>
      <c r="AC323" s="365"/>
      <c r="AD323" s="383"/>
      <c r="AE323" s="365"/>
      <c r="AF323" s="383"/>
      <c r="AG323" s="365"/>
      <c r="AH323" s="383"/>
      <c r="AI323" s="365"/>
      <c r="AJ323" s="383"/>
      <c r="AK323" s="365"/>
      <c r="AL323" s="383"/>
      <c r="AM323" s="353"/>
    </row>
    <row r="324" spans="1:39" s="352" customFormat="1">
      <c r="A324" s="364"/>
      <c r="B324" s="364"/>
      <c r="C324" s="365"/>
      <c r="D324" s="365"/>
      <c r="E324" s="365"/>
      <c r="F324" s="365"/>
      <c r="G324" s="365"/>
      <c r="H324" s="383"/>
      <c r="I324" s="365"/>
      <c r="J324" s="383"/>
      <c r="K324" s="365"/>
      <c r="L324" s="365"/>
      <c r="M324" s="365"/>
      <c r="N324" s="383"/>
      <c r="O324" s="365"/>
      <c r="P324" s="365"/>
      <c r="Q324" s="365"/>
      <c r="R324" s="383"/>
      <c r="S324" s="365"/>
      <c r="T324" s="383"/>
      <c r="U324" s="365"/>
      <c r="V324" s="383"/>
      <c r="W324" s="365"/>
      <c r="X324" s="383"/>
      <c r="Y324" s="365"/>
      <c r="Z324" s="383"/>
      <c r="AA324" s="365"/>
      <c r="AB324" s="365"/>
      <c r="AC324" s="365"/>
      <c r="AD324" s="383"/>
      <c r="AE324" s="365"/>
      <c r="AF324" s="383"/>
      <c r="AG324" s="365"/>
      <c r="AH324" s="383"/>
      <c r="AI324" s="365"/>
      <c r="AJ324" s="383"/>
      <c r="AK324" s="365"/>
      <c r="AL324" s="383"/>
      <c r="AM324" s="353"/>
    </row>
    <row r="325" spans="1:39" s="352" customFormat="1">
      <c r="A325" s="364"/>
      <c r="B325" s="364"/>
      <c r="C325" s="365"/>
      <c r="D325" s="365"/>
      <c r="E325" s="365"/>
      <c r="F325" s="365"/>
      <c r="G325" s="365"/>
      <c r="H325" s="383"/>
      <c r="I325" s="365"/>
      <c r="J325" s="383"/>
      <c r="K325" s="365"/>
      <c r="L325" s="365"/>
      <c r="M325" s="365"/>
      <c r="N325" s="383"/>
      <c r="O325" s="365"/>
      <c r="P325" s="365"/>
      <c r="Q325" s="365"/>
      <c r="R325" s="383"/>
      <c r="S325" s="365"/>
      <c r="T325" s="383"/>
      <c r="U325" s="365"/>
      <c r="V325" s="383"/>
      <c r="W325" s="365"/>
      <c r="X325" s="383"/>
      <c r="Y325" s="365"/>
      <c r="Z325" s="383"/>
      <c r="AA325" s="365"/>
      <c r="AB325" s="365"/>
      <c r="AC325" s="365"/>
      <c r="AD325" s="383"/>
      <c r="AE325" s="365"/>
      <c r="AF325" s="383"/>
      <c r="AG325" s="365"/>
      <c r="AH325" s="383"/>
      <c r="AI325" s="365"/>
      <c r="AJ325" s="383"/>
      <c r="AK325" s="365"/>
      <c r="AL325" s="383"/>
      <c r="AM325" s="353"/>
    </row>
    <row r="326" spans="1:39" s="352" customFormat="1">
      <c r="A326" s="364"/>
      <c r="B326" s="364"/>
      <c r="C326" s="365"/>
      <c r="D326" s="365"/>
      <c r="E326" s="365"/>
      <c r="F326" s="365"/>
      <c r="G326" s="365"/>
      <c r="H326" s="383"/>
      <c r="I326" s="365"/>
      <c r="J326" s="383"/>
      <c r="K326" s="365"/>
      <c r="L326" s="365"/>
      <c r="M326" s="365"/>
      <c r="N326" s="383"/>
      <c r="O326" s="365"/>
      <c r="P326" s="365"/>
      <c r="Q326" s="365"/>
      <c r="R326" s="383"/>
      <c r="S326" s="365"/>
      <c r="T326" s="383"/>
      <c r="U326" s="365"/>
      <c r="V326" s="383"/>
      <c r="W326" s="365"/>
      <c r="X326" s="383"/>
      <c r="Y326" s="365"/>
      <c r="Z326" s="383"/>
      <c r="AA326" s="365"/>
      <c r="AB326" s="365"/>
      <c r="AC326" s="365"/>
      <c r="AD326" s="383"/>
      <c r="AE326" s="365"/>
      <c r="AF326" s="383"/>
      <c r="AG326" s="365"/>
      <c r="AH326" s="383"/>
      <c r="AI326" s="365"/>
      <c r="AJ326" s="383"/>
      <c r="AK326" s="365"/>
      <c r="AL326" s="383"/>
      <c r="AM326" s="353"/>
    </row>
    <row r="327" spans="1:39" s="352" customFormat="1">
      <c r="A327" s="364"/>
      <c r="B327" s="364"/>
      <c r="C327" s="365"/>
      <c r="D327" s="365"/>
      <c r="E327" s="365"/>
      <c r="F327" s="365"/>
      <c r="G327" s="365"/>
      <c r="H327" s="383"/>
      <c r="I327" s="365"/>
      <c r="J327" s="383"/>
      <c r="K327" s="365"/>
      <c r="L327" s="365"/>
      <c r="M327" s="365"/>
      <c r="N327" s="383"/>
      <c r="O327" s="365"/>
      <c r="P327" s="365"/>
      <c r="Q327" s="365"/>
      <c r="R327" s="383"/>
      <c r="S327" s="365"/>
      <c r="T327" s="383"/>
      <c r="U327" s="365"/>
      <c r="V327" s="383"/>
      <c r="W327" s="365"/>
      <c r="X327" s="383"/>
      <c r="Y327" s="365"/>
      <c r="Z327" s="383"/>
      <c r="AA327" s="365"/>
      <c r="AB327" s="365"/>
      <c r="AC327" s="365"/>
      <c r="AD327" s="383"/>
      <c r="AE327" s="365"/>
      <c r="AF327" s="383"/>
      <c r="AG327" s="365"/>
      <c r="AH327" s="383"/>
      <c r="AI327" s="365"/>
      <c r="AJ327" s="383"/>
      <c r="AK327" s="365"/>
      <c r="AL327" s="383"/>
      <c r="AM327" s="353"/>
    </row>
    <row r="328" spans="1:39" s="352" customFormat="1">
      <c r="A328" s="364"/>
      <c r="B328" s="364"/>
      <c r="C328" s="365"/>
      <c r="D328" s="365"/>
      <c r="E328" s="365"/>
      <c r="F328" s="365"/>
      <c r="G328" s="365"/>
      <c r="H328" s="383"/>
      <c r="I328" s="365"/>
      <c r="J328" s="383"/>
      <c r="K328" s="365"/>
      <c r="L328" s="365"/>
      <c r="M328" s="365"/>
      <c r="N328" s="383"/>
      <c r="O328" s="365"/>
      <c r="P328" s="365"/>
      <c r="Q328" s="365"/>
      <c r="R328" s="383"/>
      <c r="S328" s="365"/>
      <c r="T328" s="383"/>
      <c r="U328" s="365"/>
      <c r="V328" s="383"/>
      <c r="W328" s="365"/>
      <c r="X328" s="383"/>
      <c r="Y328" s="365"/>
      <c r="Z328" s="383"/>
      <c r="AA328" s="365"/>
      <c r="AB328" s="365"/>
      <c r="AC328" s="365"/>
      <c r="AD328" s="383"/>
      <c r="AE328" s="365"/>
      <c r="AF328" s="383"/>
      <c r="AG328" s="365"/>
      <c r="AH328" s="383"/>
      <c r="AI328" s="365"/>
      <c r="AJ328" s="383"/>
      <c r="AK328" s="365"/>
      <c r="AL328" s="383"/>
      <c r="AM328" s="353"/>
    </row>
    <row r="329" spans="1:39" s="352" customFormat="1">
      <c r="A329" s="364"/>
      <c r="B329" s="364"/>
      <c r="C329" s="365"/>
      <c r="D329" s="365"/>
      <c r="E329" s="365"/>
      <c r="F329" s="365"/>
      <c r="G329" s="365"/>
      <c r="H329" s="383"/>
      <c r="I329" s="365"/>
      <c r="J329" s="383"/>
      <c r="K329" s="365"/>
      <c r="L329" s="365"/>
      <c r="M329" s="365"/>
      <c r="N329" s="383"/>
      <c r="O329" s="365"/>
      <c r="P329" s="365"/>
      <c r="Q329" s="365"/>
      <c r="R329" s="383"/>
      <c r="S329" s="365"/>
      <c r="T329" s="383"/>
      <c r="U329" s="365"/>
      <c r="V329" s="383"/>
      <c r="W329" s="365"/>
      <c r="X329" s="383"/>
      <c r="Y329" s="365"/>
      <c r="Z329" s="383"/>
      <c r="AA329" s="365"/>
      <c r="AB329" s="365"/>
      <c r="AC329" s="365"/>
      <c r="AD329" s="383"/>
      <c r="AE329" s="365"/>
      <c r="AF329" s="383"/>
      <c r="AG329" s="365"/>
      <c r="AH329" s="383"/>
      <c r="AI329" s="365"/>
      <c r="AJ329" s="383"/>
      <c r="AK329" s="365"/>
      <c r="AL329" s="383"/>
      <c r="AM329" s="353"/>
    </row>
    <row r="330" spans="1:39" s="352" customFormat="1">
      <c r="A330" s="364"/>
      <c r="B330" s="364"/>
      <c r="C330" s="365"/>
      <c r="D330" s="365"/>
      <c r="E330" s="365"/>
      <c r="F330" s="365"/>
      <c r="G330" s="365"/>
      <c r="H330" s="383"/>
      <c r="I330" s="365"/>
      <c r="J330" s="383"/>
      <c r="K330" s="365"/>
      <c r="L330" s="365"/>
      <c r="M330" s="365"/>
      <c r="N330" s="383"/>
      <c r="O330" s="365"/>
      <c r="P330" s="365"/>
      <c r="Q330" s="365"/>
      <c r="R330" s="383"/>
      <c r="S330" s="365"/>
      <c r="T330" s="383"/>
      <c r="U330" s="365"/>
      <c r="V330" s="383"/>
      <c r="W330" s="365"/>
      <c r="X330" s="383"/>
      <c r="Y330" s="365"/>
      <c r="Z330" s="383"/>
      <c r="AA330" s="365"/>
      <c r="AB330" s="365"/>
      <c r="AC330" s="365"/>
      <c r="AD330" s="383"/>
      <c r="AE330" s="365"/>
      <c r="AF330" s="383"/>
      <c r="AG330" s="365"/>
      <c r="AH330" s="383"/>
      <c r="AI330" s="365"/>
      <c r="AJ330" s="383"/>
      <c r="AK330" s="365"/>
      <c r="AL330" s="383"/>
      <c r="AM330" s="353"/>
    </row>
    <row r="331" spans="1:39" s="352" customFormat="1">
      <c r="A331" s="364"/>
      <c r="B331" s="364"/>
      <c r="C331" s="365"/>
      <c r="D331" s="365"/>
      <c r="E331" s="365"/>
      <c r="F331" s="365"/>
      <c r="G331" s="365"/>
      <c r="H331" s="383"/>
      <c r="I331" s="365"/>
      <c r="J331" s="383"/>
      <c r="K331" s="365"/>
      <c r="L331" s="365"/>
      <c r="M331" s="365"/>
      <c r="N331" s="383"/>
      <c r="O331" s="365"/>
      <c r="P331" s="365"/>
      <c r="Q331" s="365"/>
      <c r="R331" s="383"/>
      <c r="S331" s="365"/>
      <c r="T331" s="383"/>
      <c r="U331" s="365"/>
      <c r="V331" s="383"/>
      <c r="W331" s="365"/>
      <c r="X331" s="383"/>
      <c r="Y331" s="365"/>
      <c r="Z331" s="383"/>
      <c r="AA331" s="365"/>
      <c r="AB331" s="365"/>
      <c r="AC331" s="365"/>
      <c r="AD331" s="383"/>
      <c r="AE331" s="365"/>
      <c r="AF331" s="383"/>
      <c r="AG331" s="365"/>
      <c r="AH331" s="383"/>
      <c r="AI331" s="365"/>
      <c r="AJ331" s="383"/>
      <c r="AK331" s="365"/>
      <c r="AL331" s="383"/>
      <c r="AM331" s="353"/>
    </row>
    <row r="332" spans="1:39" s="352" customFormat="1">
      <c r="A332" s="364"/>
      <c r="B332" s="364"/>
      <c r="C332" s="365"/>
      <c r="D332" s="365"/>
      <c r="E332" s="365"/>
      <c r="F332" s="365"/>
      <c r="G332" s="365"/>
      <c r="H332" s="383"/>
      <c r="I332" s="365"/>
      <c r="J332" s="383"/>
      <c r="K332" s="365"/>
      <c r="L332" s="365"/>
      <c r="M332" s="365"/>
      <c r="N332" s="383"/>
      <c r="O332" s="365"/>
      <c r="P332" s="365"/>
      <c r="Q332" s="365"/>
      <c r="R332" s="383"/>
      <c r="S332" s="365"/>
      <c r="T332" s="383"/>
      <c r="U332" s="365"/>
      <c r="V332" s="383"/>
      <c r="W332" s="365"/>
      <c r="X332" s="383"/>
      <c r="Y332" s="365"/>
      <c r="Z332" s="383"/>
      <c r="AA332" s="365"/>
      <c r="AB332" s="365"/>
      <c r="AC332" s="365"/>
      <c r="AD332" s="383"/>
      <c r="AE332" s="365"/>
      <c r="AF332" s="383"/>
      <c r="AG332" s="365"/>
      <c r="AH332" s="383"/>
      <c r="AI332" s="365"/>
      <c r="AJ332" s="383"/>
      <c r="AK332" s="365"/>
      <c r="AL332" s="383"/>
      <c r="AM332" s="353"/>
    </row>
    <row r="333" spans="1:39" s="352" customFormat="1">
      <c r="A333" s="364"/>
      <c r="B333" s="364"/>
      <c r="C333" s="365"/>
      <c r="D333" s="365"/>
      <c r="E333" s="365"/>
      <c r="F333" s="365"/>
      <c r="G333" s="365"/>
      <c r="H333" s="383"/>
      <c r="I333" s="365"/>
      <c r="J333" s="383"/>
      <c r="K333" s="365"/>
      <c r="L333" s="365"/>
      <c r="M333" s="365"/>
      <c r="N333" s="383"/>
      <c r="O333" s="365"/>
      <c r="P333" s="365"/>
      <c r="Q333" s="365"/>
      <c r="R333" s="383"/>
      <c r="S333" s="365"/>
      <c r="T333" s="383"/>
      <c r="U333" s="365"/>
      <c r="V333" s="383"/>
      <c r="W333" s="365"/>
      <c r="X333" s="383"/>
      <c r="Y333" s="365"/>
      <c r="Z333" s="383"/>
      <c r="AA333" s="365"/>
      <c r="AB333" s="365"/>
      <c r="AC333" s="365"/>
      <c r="AD333" s="383"/>
      <c r="AE333" s="365"/>
      <c r="AF333" s="383"/>
      <c r="AG333" s="365"/>
      <c r="AH333" s="383"/>
      <c r="AI333" s="365"/>
      <c r="AJ333" s="383"/>
      <c r="AK333" s="365"/>
      <c r="AL333" s="383"/>
      <c r="AM333" s="353"/>
    </row>
    <row r="334" spans="1:39" s="352" customFormat="1">
      <c r="A334" s="364"/>
      <c r="B334" s="364"/>
      <c r="C334" s="365"/>
      <c r="D334" s="365"/>
      <c r="E334" s="365"/>
      <c r="F334" s="365"/>
      <c r="G334" s="365"/>
      <c r="H334" s="383"/>
      <c r="I334" s="365"/>
      <c r="J334" s="383"/>
      <c r="K334" s="365"/>
      <c r="L334" s="365"/>
      <c r="M334" s="365"/>
      <c r="N334" s="383"/>
      <c r="O334" s="365"/>
      <c r="P334" s="365"/>
      <c r="Q334" s="365"/>
      <c r="R334" s="383"/>
      <c r="S334" s="365"/>
      <c r="T334" s="383"/>
      <c r="U334" s="365"/>
      <c r="V334" s="383"/>
      <c r="W334" s="365"/>
      <c r="X334" s="383"/>
      <c r="Y334" s="365"/>
      <c r="Z334" s="383"/>
      <c r="AA334" s="365"/>
      <c r="AB334" s="365"/>
      <c r="AC334" s="365"/>
      <c r="AD334" s="383"/>
      <c r="AE334" s="365"/>
      <c r="AF334" s="383"/>
      <c r="AG334" s="365"/>
      <c r="AH334" s="383"/>
      <c r="AI334" s="365"/>
      <c r="AJ334" s="383"/>
      <c r="AK334" s="365"/>
      <c r="AL334" s="383"/>
      <c r="AM334" s="353"/>
    </row>
    <row r="335" spans="1:39" s="352" customFormat="1">
      <c r="A335" s="364"/>
      <c r="B335" s="364"/>
      <c r="C335" s="365"/>
      <c r="D335" s="365"/>
      <c r="E335" s="365"/>
      <c r="F335" s="365"/>
      <c r="G335" s="365"/>
      <c r="H335" s="383"/>
      <c r="I335" s="365"/>
      <c r="J335" s="383"/>
      <c r="K335" s="365"/>
      <c r="L335" s="365"/>
      <c r="M335" s="365"/>
      <c r="N335" s="383"/>
      <c r="O335" s="365"/>
      <c r="P335" s="365"/>
      <c r="Q335" s="365"/>
      <c r="R335" s="383"/>
      <c r="S335" s="365"/>
      <c r="T335" s="383"/>
      <c r="U335" s="365"/>
      <c r="V335" s="383"/>
      <c r="W335" s="365"/>
      <c r="X335" s="383"/>
      <c r="Y335" s="365"/>
      <c r="Z335" s="383"/>
      <c r="AA335" s="365"/>
      <c r="AB335" s="365"/>
      <c r="AC335" s="365"/>
      <c r="AD335" s="383"/>
      <c r="AE335" s="365"/>
      <c r="AF335" s="383"/>
      <c r="AG335" s="365"/>
      <c r="AH335" s="383"/>
      <c r="AI335" s="365"/>
      <c r="AJ335" s="383"/>
      <c r="AK335" s="365"/>
      <c r="AL335" s="383"/>
      <c r="AM335" s="353"/>
    </row>
    <row r="336" spans="1:39" s="352" customFormat="1">
      <c r="A336" s="364"/>
      <c r="B336" s="364"/>
      <c r="C336" s="365"/>
      <c r="D336" s="365"/>
      <c r="E336" s="365"/>
      <c r="F336" s="365"/>
      <c r="G336" s="365"/>
      <c r="H336" s="383"/>
      <c r="I336" s="365"/>
      <c r="J336" s="383"/>
      <c r="K336" s="365"/>
      <c r="L336" s="365"/>
      <c r="M336" s="365"/>
      <c r="N336" s="383"/>
      <c r="O336" s="365"/>
      <c r="P336" s="365"/>
      <c r="Q336" s="365"/>
      <c r="R336" s="383"/>
      <c r="S336" s="365"/>
      <c r="T336" s="383"/>
      <c r="U336" s="365"/>
      <c r="V336" s="383"/>
      <c r="W336" s="365"/>
      <c r="X336" s="383"/>
      <c r="Y336" s="365"/>
      <c r="Z336" s="383"/>
      <c r="AA336" s="365"/>
      <c r="AB336" s="365"/>
      <c r="AC336" s="365"/>
      <c r="AD336" s="383"/>
      <c r="AE336" s="365"/>
      <c r="AF336" s="383"/>
      <c r="AG336" s="365"/>
      <c r="AH336" s="383"/>
      <c r="AI336" s="365"/>
      <c r="AJ336" s="383"/>
      <c r="AK336" s="365"/>
      <c r="AL336" s="383"/>
      <c r="AM336" s="353"/>
    </row>
    <row r="337" spans="1:39" s="352" customFormat="1">
      <c r="A337" s="364"/>
      <c r="B337" s="364"/>
      <c r="C337" s="365"/>
      <c r="D337" s="365"/>
      <c r="E337" s="365"/>
      <c r="F337" s="365"/>
      <c r="G337" s="365"/>
      <c r="H337" s="383"/>
      <c r="I337" s="365"/>
      <c r="J337" s="383"/>
      <c r="K337" s="365"/>
      <c r="L337" s="365"/>
      <c r="M337" s="365"/>
      <c r="N337" s="383"/>
      <c r="O337" s="365"/>
      <c r="P337" s="365"/>
      <c r="Q337" s="365"/>
      <c r="R337" s="383"/>
      <c r="S337" s="365"/>
      <c r="T337" s="383"/>
      <c r="U337" s="365"/>
      <c r="V337" s="383"/>
      <c r="W337" s="365"/>
      <c r="X337" s="383"/>
      <c r="Y337" s="365"/>
      <c r="Z337" s="383"/>
      <c r="AA337" s="365"/>
      <c r="AB337" s="365"/>
      <c r="AC337" s="365"/>
      <c r="AD337" s="383"/>
      <c r="AE337" s="365"/>
      <c r="AF337" s="383"/>
      <c r="AG337" s="365"/>
      <c r="AH337" s="383"/>
      <c r="AI337" s="365"/>
      <c r="AJ337" s="383"/>
      <c r="AK337" s="365"/>
      <c r="AL337" s="383"/>
      <c r="AM337" s="353"/>
    </row>
    <row r="338" spans="1:39" s="352" customFormat="1">
      <c r="A338" s="364"/>
      <c r="B338" s="364"/>
      <c r="C338" s="365"/>
      <c r="D338" s="365"/>
      <c r="E338" s="365"/>
      <c r="F338" s="365"/>
      <c r="G338" s="365"/>
      <c r="H338" s="383"/>
      <c r="I338" s="365"/>
      <c r="J338" s="383"/>
      <c r="K338" s="365"/>
      <c r="L338" s="365"/>
      <c r="M338" s="365"/>
      <c r="N338" s="383"/>
      <c r="O338" s="365"/>
      <c r="P338" s="365"/>
      <c r="Q338" s="365"/>
      <c r="R338" s="383"/>
      <c r="S338" s="365"/>
      <c r="T338" s="383"/>
      <c r="U338" s="365"/>
      <c r="V338" s="383"/>
      <c r="W338" s="365"/>
      <c r="X338" s="383"/>
      <c r="Y338" s="365"/>
      <c r="Z338" s="383"/>
      <c r="AA338" s="365"/>
      <c r="AB338" s="365"/>
      <c r="AC338" s="365"/>
      <c r="AD338" s="383"/>
      <c r="AE338" s="365"/>
      <c r="AF338" s="383"/>
      <c r="AG338" s="365"/>
      <c r="AH338" s="383"/>
      <c r="AI338" s="365"/>
      <c r="AJ338" s="383"/>
      <c r="AK338" s="365"/>
      <c r="AL338" s="383"/>
      <c r="AM338" s="353"/>
    </row>
    <row r="339" spans="1:39" s="352" customFormat="1">
      <c r="A339" s="364"/>
      <c r="B339" s="364"/>
      <c r="C339" s="365"/>
      <c r="D339" s="365"/>
      <c r="E339" s="365"/>
      <c r="F339" s="365"/>
      <c r="G339" s="365"/>
      <c r="H339" s="383"/>
      <c r="I339" s="365"/>
      <c r="J339" s="383"/>
      <c r="K339" s="365"/>
      <c r="L339" s="365"/>
      <c r="M339" s="365"/>
      <c r="N339" s="383"/>
      <c r="O339" s="365"/>
      <c r="P339" s="365"/>
      <c r="Q339" s="365"/>
      <c r="R339" s="383"/>
      <c r="S339" s="365"/>
      <c r="T339" s="383"/>
      <c r="U339" s="365"/>
      <c r="V339" s="383"/>
      <c r="W339" s="365"/>
      <c r="X339" s="383"/>
      <c r="Y339" s="365"/>
      <c r="Z339" s="383"/>
      <c r="AA339" s="365"/>
      <c r="AB339" s="365"/>
      <c r="AC339" s="365"/>
      <c r="AD339" s="383"/>
      <c r="AE339" s="365"/>
      <c r="AF339" s="383"/>
      <c r="AG339" s="365"/>
      <c r="AH339" s="383"/>
      <c r="AI339" s="365"/>
      <c r="AJ339" s="383"/>
      <c r="AK339" s="365"/>
      <c r="AL339" s="383"/>
      <c r="AM339" s="353"/>
    </row>
    <row r="340" spans="1:39" s="352" customFormat="1">
      <c r="A340" s="364"/>
      <c r="B340" s="364"/>
      <c r="C340" s="365"/>
      <c r="D340" s="365"/>
      <c r="E340" s="365"/>
      <c r="F340" s="365"/>
      <c r="G340" s="365"/>
      <c r="H340" s="383"/>
      <c r="I340" s="365"/>
      <c r="J340" s="383"/>
      <c r="K340" s="365"/>
      <c r="L340" s="365"/>
      <c r="M340" s="365"/>
      <c r="N340" s="383"/>
      <c r="O340" s="365"/>
      <c r="P340" s="365"/>
      <c r="Q340" s="365"/>
      <c r="R340" s="383"/>
      <c r="S340" s="365"/>
      <c r="T340" s="383"/>
      <c r="U340" s="365"/>
      <c r="V340" s="383"/>
      <c r="W340" s="365"/>
      <c r="X340" s="383"/>
      <c r="Y340" s="365"/>
      <c r="Z340" s="383"/>
      <c r="AA340" s="365"/>
      <c r="AB340" s="365"/>
      <c r="AC340" s="365"/>
      <c r="AD340" s="383"/>
      <c r="AE340" s="365"/>
      <c r="AF340" s="383"/>
      <c r="AG340" s="365"/>
      <c r="AH340" s="383"/>
      <c r="AI340" s="365"/>
      <c r="AJ340" s="383"/>
      <c r="AK340" s="365"/>
      <c r="AL340" s="383"/>
      <c r="AM340" s="353"/>
    </row>
    <row r="341" spans="1:39" s="352" customFormat="1">
      <c r="A341" s="364"/>
      <c r="B341" s="364"/>
      <c r="C341" s="365"/>
      <c r="D341" s="365"/>
      <c r="E341" s="365"/>
      <c r="F341" s="365"/>
      <c r="G341" s="365"/>
      <c r="H341" s="383"/>
      <c r="I341" s="365"/>
      <c r="J341" s="383"/>
      <c r="K341" s="365"/>
      <c r="L341" s="365"/>
      <c r="M341" s="365"/>
      <c r="N341" s="383"/>
      <c r="O341" s="365"/>
      <c r="P341" s="365"/>
      <c r="Q341" s="365"/>
      <c r="R341" s="383"/>
      <c r="S341" s="365"/>
      <c r="T341" s="383"/>
      <c r="U341" s="365"/>
      <c r="V341" s="383"/>
      <c r="W341" s="365"/>
      <c r="X341" s="383"/>
      <c r="Y341" s="365"/>
      <c r="Z341" s="383"/>
      <c r="AA341" s="365"/>
      <c r="AB341" s="365"/>
      <c r="AC341" s="365"/>
      <c r="AD341" s="383"/>
      <c r="AE341" s="365"/>
      <c r="AF341" s="383"/>
      <c r="AG341" s="365"/>
      <c r="AH341" s="383"/>
      <c r="AI341" s="365"/>
      <c r="AJ341" s="383"/>
      <c r="AK341" s="365"/>
      <c r="AL341" s="383"/>
      <c r="AM341" s="353"/>
    </row>
    <row r="342" spans="1:39" s="352" customFormat="1">
      <c r="A342" s="364"/>
      <c r="B342" s="364"/>
      <c r="C342" s="365"/>
      <c r="D342" s="365"/>
      <c r="E342" s="365"/>
      <c r="F342" s="365"/>
      <c r="G342" s="365"/>
      <c r="H342" s="383"/>
      <c r="I342" s="365"/>
      <c r="J342" s="383"/>
      <c r="K342" s="365"/>
      <c r="L342" s="365"/>
      <c r="M342" s="365"/>
      <c r="N342" s="383"/>
      <c r="O342" s="365"/>
      <c r="P342" s="365"/>
      <c r="Q342" s="365"/>
      <c r="R342" s="383"/>
      <c r="S342" s="365"/>
      <c r="T342" s="383"/>
      <c r="U342" s="365"/>
      <c r="V342" s="383"/>
      <c r="W342" s="365"/>
      <c r="X342" s="383"/>
      <c r="Y342" s="365"/>
      <c r="Z342" s="383"/>
      <c r="AA342" s="365"/>
      <c r="AB342" s="365"/>
      <c r="AC342" s="365"/>
      <c r="AD342" s="383"/>
      <c r="AE342" s="365"/>
      <c r="AF342" s="383"/>
      <c r="AG342" s="365"/>
      <c r="AH342" s="383"/>
      <c r="AI342" s="365"/>
      <c r="AJ342" s="383"/>
      <c r="AK342" s="365"/>
      <c r="AL342" s="383"/>
      <c r="AM342" s="353"/>
    </row>
    <row r="343" spans="1:39" s="352" customFormat="1">
      <c r="A343" s="364"/>
      <c r="B343" s="364"/>
      <c r="C343" s="365"/>
      <c r="D343" s="365"/>
      <c r="E343" s="365"/>
      <c r="F343" s="365"/>
      <c r="G343" s="365"/>
      <c r="H343" s="383"/>
      <c r="I343" s="365"/>
      <c r="J343" s="383"/>
      <c r="K343" s="365"/>
      <c r="L343" s="365"/>
      <c r="M343" s="365"/>
      <c r="N343" s="383"/>
      <c r="O343" s="365"/>
      <c r="P343" s="365"/>
      <c r="Q343" s="365"/>
      <c r="R343" s="383"/>
      <c r="S343" s="365"/>
      <c r="T343" s="383"/>
      <c r="U343" s="365"/>
      <c r="V343" s="383"/>
      <c r="W343" s="365"/>
      <c r="X343" s="383"/>
      <c r="Y343" s="365"/>
      <c r="Z343" s="383"/>
      <c r="AA343" s="365"/>
      <c r="AB343" s="365"/>
      <c r="AC343" s="365"/>
      <c r="AD343" s="383"/>
      <c r="AE343" s="365"/>
      <c r="AF343" s="383"/>
      <c r="AG343" s="365"/>
      <c r="AH343" s="383"/>
      <c r="AI343" s="365"/>
      <c r="AJ343" s="383"/>
      <c r="AK343" s="365"/>
      <c r="AL343" s="383"/>
      <c r="AM343" s="353"/>
    </row>
    <row r="344" spans="1:39" s="352" customFormat="1">
      <c r="A344" s="364"/>
      <c r="B344" s="364"/>
      <c r="C344" s="365"/>
      <c r="D344" s="365"/>
      <c r="E344" s="365"/>
      <c r="F344" s="365"/>
      <c r="G344" s="365"/>
      <c r="H344" s="383"/>
      <c r="I344" s="365"/>
      <c r="J344" s="383"/>
      <c r="K344" s="365"/>
      <c r="L344" s="365"/>
      <c r="M344" s="365"/>
      <c r="N344" s="383"/>
      <c r="O344" s="365"/>
      <c r="P344" s="365"/>
      <c r="Q344" s="365"/>
      <c r="R344" s="383"/>
      <c r="S344" s="365"/>
      <c r="T344" s="383"/>
      <c r="U344" s="365"/>
      <c r="V344" s="383"/>
      <c r="W344" s="365"/>
      <c r="X344" s="383"/>
      <c r="Y344" s="365"/>
      <c r="Z344" s="383"/>
      <c r="AA344" s="365"/>
      <c r="AB344" s="365"/>
      <c r="AC344" s="365"/>
      <c r="AD344" s="383"/>
      <c r="AE344" s="365"/>
      <c r="AF344" s="383"/>
      <c r="AG344" s="365"/>
      <c r="AH344" s="383"/>
      <c r="AI344" s="365"/>
      <c r="AJ344" s="383"/>
      <c r="AK344" s="365"/>
      <c r="AL344" s="383"/>
      <c r="AM344" s="353"/>
    </row>
    <row r="345" spans="1:39" s="352" customFormat="1">
      <c r="A345" s="364"/>
      <c r="B345" s="364"/>
      <c r="C345" s="365"/>
      <c r="D345" s="365"/>
      <c r="E345" s="365"/>
      <c r="F345" s="365"/>
      <c r="G345" s="365"/>
      <c r="H345" s="383"/>
      <c r="I345" s="365"/>
      <c r="J345" s="383"/>
      <c r="K345" s="365"/>
      <c r="L345" s="365"/>
      <c r="M345" s="365"/>
      <c r="N345" s="383"/>
      <c r="O345" s="365"/>
      <c r="P345" s="365"/>
      <c r="Q345" s="365"/>
      <c r="R345" s="383"/>
      <c r="S345" s="365"/>
      <c r="T345" s="383"/>
      <c r="U345" s="365"/>
      <c r="V345" s="383"/>
      <c r="W345" s="365"/>
      <c r="X345" s="383"/>
      <c r="Y345" s="365"/>
      <c r="Z345" s="383"/>
      <c r="AA345" s="365"/>
      <c r="AB345" s="365"/>
      <c r="AC345" s="365"/>
      <c r="AD345" s="383"/>
      <c r="AE345" s="365"/>
      <c r="AF345" s="383"/>
      <c r="AG345" s="365"/>
      <c r="AH345" s="383"/>
      <c r="AI345" s="365"/>
      <c r="AJ345" s="383"/>
      <c r="AK345" s="365"/>
      <c r="AL345" s="383"/>
      <c r="AM345" s="353"/>
    </row>
    <row r="346" spans="1:39" s="352" customFormat="1">
      <c r="A346" s="364"/>
      <c r="B346" s="364"/>
      <c r="C346" s="365"/>
      <c r="D346" s="365"/>
      <c r="E346" s="365"/>
      <c r="F346" s="365"/>
      <c r="G346" s="365"/>
      <c r="H346" s="383"/>
      <c r="I346" s="365"/>
      <c r="J346" s="383"/>
      <c r="K346" s="365"/>
      <c r="L346" s="365"/>
      <c r="M346" s="365"/>
      <c r="N346" s="383"/>
      <c r="O346" s="365"/>
      <c r="P346" s="365"/>
      <c r="Q346" s="365"/>
      <c r="R346" s="383"/>
      <c r="S346" s="365"/>
      <c r="T346" s="383"/>
      <c r="U346" s="365"/>
      <c r="V346" s="383"/>
      <c r="W346" s="365"/>
      <c r="X346" s="383"/>
      <c r="Y346" s="365"/>
      <c r="Z346" s="383"/>
      <c r="AA346" s="365"/>
      <c r="AB346" s="365"/>
      <c r="AC346" s="365"/>
      <c r="AD346" s="383"/>
      <c r="AE346" s="365"/>
      <c r="AF346" s="383"/>
      <c r="AG346" s="365"/>
      <c r="AH346" s="383"/>
      <c r="AI346" s="365"/>
      <c r="AJ346" s="383"/>
      <c r="AK346" s="365"/>
      <c r="AL346" s="383"/>
      <c r="AM346" s="353"/>
    </row>
    <row r="347" spans="1:39" s="352" customFormat="1">
      <c r="A347" s="364"/>
      <c r="B347" s="364"/>
      <c r="C347" s="365"/>
      <c r="D347" s="365"/>
      <c r="E347" s="365"/>
      <c r="F347" s="365"/>
      <c r="G347" s="365"/>
      <c r="H347" s="383"/>
      <c r="I347" s="365"/>
      <c r="J347" s="383"/>
      <c r="K347" s="365"/>
      <c r="L347" s="365"/>
      <c r="M347" s="365"/>
      <c r="N347" s="383"/>
      <c r="O347" s="365"/>
      <c r="P347" s="365"/>
      <c r="Q347" s="365"/>
      <c r="R347" s="383"/>
      <c r="S347" s="365"/>
      <c r="T347" s="383"/>
      <c r="U347" s="365"/>
      <c r="V347" s="383"/>
      <c r="W347" s="365"/>
      <c r="X347" s="383"/>
      <c r="Y347" s="365"/>
      <c r="Z347" s="383"/>
      <c r="AA347" s="365"/>
      <c r="AB347" s="365"/>
      <c r="AC347" s="365"/>
      <c r="AD347" s="383"/>
      <c r="AE347" s="365"/>
      <c r="AF347" s="383"/>
      <c r="AG347" s="365"/>
      <c r="AH347" s="383"/>
      <c r="AI347" s="365"/>
      <c r="AJ347" s="383"/>
      <c r="AK347" s="365"/>
      <c r="AL347" s="383"/>
      <c r="AM347" s="353"/>
    </row>
    <row r="348" spans="1:39" s="352" customFormat="1">
      <c r="A348" s="364"/>
      <c r="B348" s="364"/>
      <c r="C348" s="365"/>
      <c r="D348" s="365"/>
      <c r="E348" s="365"/>
      <c r="F348" s="365"/>
      <c r="G348" s="365"/>
      <c r="H348" s="383"/>
      <c r="I348" s="365"/>
      <c r="J348" s="383"/>
      <c r="K348" s="365"/>
      <c r="L348" s="365"/>
      <c r="M348" s="365"/>
      <c r="N348" s="383"/>
      <c r="O348" s="365"/>
      <c r="P348" s="365"/>
      <c r="Q348" s="365"/>
      <c r="R348" s="383"/>
      <c r="S348" s="365"/>
      <c r="T348" s="383"/>
      <c r="U348" s="365"/>
      <c r="V348" s="383"/>
      <c r="W348" s="365"/>
      <c r="X348" s="383"/>
      <c r="Y348" s="365"/>
      <c r="Z348" s="383"/>
      <c r="AA348" s="365"/>
      <c r="AB348" s="365"/>
      <c r="AC348" s="365"/>
      <c r="AD348" s="383"/>
      <c r="AE348" s="365"/>
      <c r="AF348" s="383"/>
      <c r="AG348" s="365"/>
      <c r="AH348" s="383"/>
      <c r="AI348" s="365"/>
      <c r="AJ348" s="383"/>
      <c r="AK348" s="365"/>
      <c r="AL348" s="383"/>
      <c r="AM348" s="353"/>
    </row>
    <row r="349" spans="1:39" s="352" customFormat="1">
      <c r="A349" s="364"/>
      <c r="B349" s="364"/>
      <c r="C349" s="365"/>
      <c r="D349" s="365"/>
      <c r="E349" s="365"/>
      <c r="F349" s="365"/>
      <c r="G349" s="365"/>
      <c r="H349" s="383"/>
      <c r="I349" s="365"/>
      <c r="J349" s="383"/>
      <c r="K349" s="365"/>
      <c r="L349" s="365"/>
      <c r="M349" s="365"/>
      <c r="N349" s="383"/>
      <c r="O349" s="365"/>
      <c r="P349" s="365"/>
      <c r="Q349" s="365"/>
      <c r="R349" s="383"/>
      <c r="S349" s="365"/>
      <c r="T349" s="383"/>
      <c r="U349" s="365"/>
      <c r="V349" s="383"/>
      <c r="W349" s="365"/>
      <c r="X349" s="383"/>
      <c r="Y349" s="365"/>
      <c r="Z349" s="383"/>
      <c r="AA349" s="365"/>
      <c r="AB349" s="365"/>
      <c r="AC349" s="365"/>
      <c r="AD349" s="383"/>
      <c r="AE349" s="365"/>
      <c r="AF349" s="383"/>
      <c r="AG349" s="365"/>
      <c r="AH349" s="383"/>
      <c r="AI349" s="365"/>
      <c r="AJ349" s="383"/>
      <c r="AK349" s="365"/>
      <c r="AL349" s="383"/>
      <c r="AM349" s="353"/>
    </row>
    <row r="350" spans="1:39" s="352" customFormat="1">
      <c r="A350" s="364"/>
      <c r="B350" s="364"/>
      <c r="C350" s="365"/>
      <c r="D350" s="365"/>
      <c r="E350" s="365"/>
      <c r="F350" s="365"/>
      <c r="G350" s="365"/>
      <c r="H350" s="383"/>
      <c r="I350" s="365"/>
      <c r="J350" s="383"/>
      <c r="K350" s="365"/>
      <c r="L350" s="365"/>
      <c r="M350" s="365"/>
      <c r="N350" s="383"/>
      <c r="O350" s="365"/>
      <c r="P350" s="365"/>
      <c r="Q350" s="365"/>
      <c r="R350" s="383"/>
      <c r="S350" s="365"/>
      <c r="T350" s="383"/>
      <c r="U350" s="365"/>
      <c r="V350" s="383"/>
      <c r="W350" s="365"/>
      <c r="X350" s="383"/>
      <c r="Y350" s="365"/>
      <c r="Z350" s="383"/>
      <c r="AA350" s="365"/>
      <c r="AB350" s="365"/>
      <c r="AC350" s="365"/>
      <c r="AD350" s="383"/>
      <c r="AE350" s="365"/>
      <c r="AF350" s="383"/>
      <c r="AG350" s="365"/>
      <c r="AH350" s="383"/>
      <c r="AI350" s="365"/>
      <c r="AJ350" s="383"/>
      <c r="AK350" s="365"/>
      <c r="AL350" s="383"/>
      <c r="AM350" s="353"/>
    </row>
    <row r="351" spans="1:39" s="352" customFormat="1">
      <c r="A351" s="364"/>
      <c r="B351" s="364"/>
      <c r="C351" s="365"/>
      <c r="D351" s="365"/>
      <c r="E351" s="365"/>
      <c r="F351" s="365"/>
      <c r="G351" s="365"/>
      <c r="H351" s="383"/>
      <c r="I351" s="365"/>
      <c r="J351" s="383"/>
      <c r="K351" s="365"/>
      <c r="L351" s="365"/>
      <c r="M351" s="365"/>
      <c r="N351" s="383"/>
      <c r="O351" s="365"/>
      <c r="P351" s="365"/>
      <c r="Q351" s="365"/>
      <c r="R351" s="383"/>
      <c r="S351" s="365"/>
      <c r="T351" s="383"/>
      <c r="U351" s="365"/>
      <c r="V351" s="383"/>
      <c r="W351" s="365"/>
      <c r="X351" s="383"/>
      <c r="Y351" s="365"/>
      <c r="Z351" s="383"/>
      <c r="AA351" s="365"/>
      <c r="AB351" s="365"/>
      <c r="AC351" s="365"/>
      <c r="AD351" s="383"/>
      <c r="AE351" s="365"/>
      <c r="AF351" s="383"/>
      <c r="AG351" s="365"/>
      <c r="AH351" s="383"/>
      <c r="AI351" s="365"/>
      <c r="AJ351" s="383"/>
      <c r="AK351" s="365"/>
      <c r="AL351" s="383"/>
      <c r="AM351" s="353"/>
    </row>
    <row r="352" spans="1:39" s="352" customFormat="1">
      <c r="A352" s="364"/>
      <c r="B352" s="364"/>
      <c r="C352" s="365"/>
      <c r="D352" s="365"/>
      <c r="E352" s="365"/>
      <c r="F352" s="365"/>
      <c r="G352" s="365"/>
      <c r="H352" s="383"/>
      <c r="I352" s="365"/>
      <c r="J352" s="383"/>
      <c r="K352" s="365"/>
      <c r="L352" s="365"/>
      <c r="M352" s="365"/>
      <c r="N352" s="383"/>
      <c r="O352" s="365"/>
      <c r="P352" s="365"/>
      <c r="Q352" s="365"/>
      <c r="R352" s="383"/>
      <c r="S352" s="365"/>
      <c r="T352" s="383"/>
      <c r="U352" s="365"/>
      <c r="V352" s="383"/>
      <c r="W352" s="365"/>
      <c r="X352" s="383"/>
      <c r="Y352" s="365"/>
      <c r="Z352" s="383"/>
      <c r="AA352" s="365"/>
      <c r="AB352" s="365"/>
      <c r="AC352" s="365"/>
      <c r="AD352" s="383"/>
      <c r="AE352" s="365"/>
      <c r="AF352" s="383"/>
      <c r="AG352" s="365"/>
      <c r="AH352" s="383"/>
      <c r="AI352" s="365"/>
      <c r="AJ352" s="383"/>
      <c r="AK352" s="365"/>
      <c r="AL352" s="383"/>
      <c r="AM352" s="353"/>
    </row>
    <row r="353" spans="1:39" s="352" customFormat="1">
      <c r="A353" s="364"/>
      <c r="B353" s="364"/>
      <c r="C353" s="365"/>
      <c r="D353" s="365"/>
      <c r="E353" s="365"/>
      <c r="F353" s="365"/>
      <c r="G353" s="365"/>
      <c r="H353" s="383"/>
      <c r="I353" s="365"/>
      <c r="J353" s="383"/>
      <c r="K353" s="365"/>
      <c r="L353" s="365"/>
      <c r="M353" s="365"/>
      <c r="N353" s="383"/>
      <c r="O353" s="365"/>
      <c r="P353" s="365"/>
      <c r="Q353" s="365"/>
      <c r="R353" s="383"/>
      <c r="S353" s="365"/>
      <c r="T353" s="383"/>
      <c r="U353" s="365"/>
      <c r="V353" s="383"/>
      <c r="W353" s="365"/>
      <c r="X353" s="383"/>
      <c r="Y353" s="365"/>
      <c r="Z353" s="383"/>
      <c r="AA353" s="365"/>
      <c r="AB353" s="365"/>
      <c r="AC353" s="365"/>
      <c r="AD353" s="383"/>
      <c r="AE353" s="365"/>
      <c r="AF353" s="383"/>
      <c r="AG353" s="365"/>
      <c r="AH353" s="383"/>
      <c r="AI353" s="365"/>
      <c r="AJ353" s="383"/>
      <c r="AK353" s="365"/>
      <c r="AL353" s="383"/>
      <c r="AM353" s="353"/>
    </row>
    <row r="354" spans="1:39" s="352" customFormat="1">
      <c r="A354" s="364"/>
      <c r="B354" s="364"/>
      <c r="C354" s="365"/>
      <c r="D354" s="365"/>
      <c r="E354" s="365"/>
      <c r="F354" s="365"/>
      <c r="G354" s="365"/>
      <c r="H354" s="383"/>
      <c r="I354" s="365"/>
      <c r="J354" s="383"/>
      <c r="K354" s="365"/>
      <c r="L354" s="365"/>
      <c r="M354" s="365"/>
      <c r="N354" s="383"/>
      <c r="O354" s="365"/>
      <c r="P354" s="365"/>
      <c r="Q354" s="365"/>
      <c r="R354" s="383"/>
      <c r="S354" s="365"/>
      <c r="T354" s="383"/>
      <c r="U354" s="365"/>
      <c r="V354" s="383"/>
      <c r="W354" s="365"/>
      <c r="X354" s="383"/>
      <c r="Y354" s="365"/>
      <c r="Z354" s="383"/>
      <c r="AA354" s="365"/>
      <c r="AB354" s="365"/>
      <c r="AC354" s="365"/>
      <c r="AD354" s="383"/>
      <c r="AE354" s="365"/>
      <c r="AF354" s="383"/>
      <c r="AG354" s="365"/>
      <c r="AH354" s="383"/>
      <c r="AI354" s="365"/>
      <c r="AJ354" s="383"/>
      <c r="AK354" s="365"/>
      <c r="AL354" s="383"/>
      <c r="AM354" s="353"/>
    </row>
    <row r="355" spans="1:39" s="352" customFormat="1">
      <c r="A355" s="364"/>
      <c r="B355" s="364"/>
      <c r="C355" s="365"/>
      <c r="D355" s="365"/>
      <c r="E355" s="365"/>
      <c r="F355" s="365"/>
      <c r="G355" s="365"/>
      <c r="H355" s="383"/>
      <c r="I355" s="365"/>
      <c r="J355" s="383"/>
      <c r="K355" s="365"/>
      <c r="L355" s="365"/>
      <c r="M355" s="365"/>
      <c r="N355" s="383"/>
      <c r="O355" s="365"/>
      <c r="P355" s="365"/>
      <c r="Q355" s="365"/>
      <c r="R355" s="383"/>
      <c r="S355" s="365"/>
      <c r="T355" s="383"/>
      <c r="U355" s="365"/>
      <c r="V355" s="383"/>
      <c r="W355" s="365"/>
      <c r="X355" s="383"/>
      <c r="Y355" s="365"/>
      <c r="Z355" s="383"/>
      <c r="AA355" s="365"/>
      <c r="AB355" s="365"/>
      <c r="AC355" s="365"/>
      <c r="AD355" s="383"/>
      <c r="AE355" s="365"/>
      <c r="AF355" s="383"/>
      <c r="AG355" s="365"/>
      <c r="AH355" s="383"/>
      <c r="AI355" s="365"/>
      <c r="AJ355" s="383"/>
      <c r="AK355" s="365"/>
      <c r="AL355" s="383"/>
      <c r="AM355" s="353"/>
    </row>
    <row r="356" spans="1:39" s="352" customFormat="1">
      <c r="A356" s="364"/>
      <c r="B356" s="364"/>
      <c r="C356" s="365"/>
      <c r="D356" s="365"/>
      <c r="E356" s="365"/>
      <c r="F356" s="365"/>
      <c r="G356" s="365"/>
      <c r="H356" s="383"/>
      <c r="I356" s="365"/>
      <c r="J356" s="383"/>
      <c r="K356" s="365"/>
      <c r="L356" s="365"/>
      <c r="M356" s="365"/>
      <c r="N356" s="383"/>
      <c r="O356" s="365"/>
      <c r="P356" s="365"/>
      <c r="Q356" s="365"/>
      <c r="R356" s="383"/>
      <c r="S356" s="365"/>
      <c r="T356" s="383"/>
      <c r="U356" s="365"/>
      <c r="V356" s="383"/>
      <c r="W356" s="365"/>
      <c r="X356" s="383"/>
      <c r="Y356" s="365"/>
      <c r="Z356" s="383"/>
      <c r="AA356" s="365"/>
      <c r="AB356" s="365"/>
      <c r="AC356" s="365"/>
      <c r="AD356" s="383"/>
      <c r="AE356" s="365"/>
      <c r="AF356" s="383"/>
      <c r="AG356" s="365"/>
      <c r="AH356" s="383"/>
      <c r="AI356" s="365"/>
      <c r="AJ356" s="383"/>
      <c r="AK356" s="365"/>
      <c r="AL356" s="383"/>
      <c r="AM356" s="353"/>
    </row>
    <row r="357" spans="1:39" s="352" customFormat="1">
      <c r="A357" s="364"/>
      <c r="B357" s="364"/>
      <c r="C357" s="365"/>
      <c r="D357" s="365"/>
      <c r="E357" s="365"/>
      <c r="F357" s="365"/>
      <c r="G357" s="365"/>
      <c r="H357" s="383"/>
      <c r="I357" s="365"/>
      <c r="J357" s="383"/>
      <c r="K357" s="365"/>
      <c r="L357" s="365"/>
      <c r="M357" s="365"/>
      <c r="N357" s="383"/>
      <c r="O357" s="365"/>
      <c r="P357" s="365"/>
      <c r="Q357" s="365"/>
      <c r="R357" s="383"/>
      <c r="S357" s="365"/>
      <c r="T357" s="383"/>
      <c r="U357" s="365"/>
      <c r="V357" s="383"/>
      <c r="W357" s="365"/>
      <c r="X357" s="383"/>
      <c r="Y357" s="365"/>
      <c r="Z357" s="383"/>
      <c r="AA357" s="365"/>
      <c r="AB357" s="365"/>
      <c r="AC357" s="365"/>
      <c r="AD357" s="383"/>
      <c r="AE357" s="365"/>
      <c r="AF357" s="383"/>
      <c r="AG357" s="365"/>
      <c r="AH357" s="383"/>
      <c r="AI357" s="365"/>
      <c r="AJ357" s="383"/>
      <c r="AK357" s="365"/>
      <c r="AL357" s="383"/>
      <c r="AM357" s="353"/>
    </row>
    <row r="358" spans="1:39" s="352" customFormat="1">
      <c r="A358" s="364"/>
      <c r="B358" s="364"/>
      <c r="C358" s="365"/>
      <c r="D358" s="365"/>
      <c r="E358" s="365"/>
      <c r="F358" s="365"/>
      <c r="G358" s="365"/>
      <c r="H358" s="383"/>
      <c r="I358" s="365"/>
      <c r="J358" s="383"/>
      <c r="K358" s="365"/>
      <c r="L358" s="365"/>
      <c r="M358" s="365"/>
      <c r="N358" s="383"/>
      <c r="O358" s="365"/>
      <c r="P358" s="365"/>
      <c r="Q358" s="365"/>
      <c r="R358" s="383"/>
      <c r="S358" s="365"/>
      <c r="T358" s="383"/>
      <c r="U358" s="365"/>
      <c r="V358" s="383"/>
      <c r="W358" s="365"/>
      <c r="X358" s="383"/>
      <c r="Y358" s="365"/>
      <c r="Z358" s="383"/>
      <c r="AA358" s="365"/>
      <c r="AB358" s="365"/>
      <c r="AC358" s="365"/>
      <c r="AD358" s="383"/>
      <c r="AE358" s="365"/>
      <c r="AF358" s="383"/>
      <c r="AG358" s="365"/>
      <c r="AH358" s="383"/>
      <c r="AI358" s="365"/>
      <c r="AJ358" s="383"/>
      <c r="AK358" s="365"/>
      <c r="AL358" s="383"/>
      <c r="AM358" s="353"/>
    </row>
    <row r="359" spans="1:39" s="352" customFormat="1">
      <c r="A359" s="364"/>
      <c r="B359" s="364"/>
      <c r="C359" s="365"/>
      <c r="D359" s="365"/>
      <c r="E359" s="365"/>
      <c r="F359" s="365"/>
      <c r="G359" s="365"/>
      <c r="H359" s="383"/>
      <c r="I359" s="365"/>
      <c r="J359" s="383"/>
      <c r="K359" s="365"/>
      <c r="L359" s="365"/>
      <c r="M359" s="365"/>
      <c r="N359" s="383"/>
      <c r="O359" s="365"/>
      <c r="P359" s="365"/>
      <c r="Q359" s="365"/>
      <c r="R359" s="383"/>
      <c r="S359" s="365"/>
      <c r="T359" s="383"/>
      <c r="U359" s="365"/>
      <c r="V359" s="383"/>
      <c r="W359" s="365"/>
      <c r="X359" s="383"/>
      <c r="Y359" s="365"/>
      <c r="Z359" s="383"/>
      <c r="AA359" s="365"/>
      <c r="AB359" s="365"/>
      <c r="AC359" s="365"/>
      <c r="AD359" s="383"/>
      <c r="AE359" s="365"/>
      <c r="AF359" s="383"/>
      <c r="AG359" s="365"/>
      <c r="AH359" s="383"/>
      <c r="AI359" s="365"/>
      <c r="AJ359" s="383"/>
      <c r="AK359" s="365"/>
      <c r="AL359" s="383"/>
      <c r="AM359" s="353"/>
    </row>
    <row r="360" spans="1:39" s="352" customFormat="1">
      <c r="A360" s="364"/>
      <c r="B360" s="364"/>
      <c r="C360" s="365"/>
      <c r="D360" s="365"/>
      <c r="E360" s="365"/>
      <c r="F360" s="365"/>
      <c r="G360" s="365"/>
      <c r="H360" s="383"/>
      <c r="I360" s="365"/>
      <c r="J360" s="383"/>
      <c r="K360" s="365"/>
      <c r="L360" s="365"/>
      <c r="M360" s="365"/>
      <c r="N360" s="383"/>
      <c r="O360" s="365"/>
      <c r="P360" s="365"/>
      <c r="Q360" s="365"/>
      <c r="R360" s="383"/>
      <c r="S360" s="365"/>
      <c r="T360" s="383"/>
      <c r="U360" s="365"/>
      <c r="V360" s="383"/>
      <c r="W360" s="365"/>
      <c r="X360" s="383"/>
      <c r="Y360" s="365"/>
      <c r="Z360" s="383"/>
      <c r="AA360" s="365"/>
      <c r="AB360" s="365"/>
      <c r="AC360" s="365"/>
      <c r="AD360" s="383"/>
      <c r="AE360" s="365"/>
      <c r="AF360" s="383"/>
      <c r="AG360" s="365"/>
      <c r="AH360" s="383"/>
      <c r="AI360" s="365"/>
      <c r="AJ360" s="383"/>
      <c r="AK360" s="365"/>
      <c r="AL360" s="383"/>
      <c r="AM360" s="353"/>
    </row>
    <row r="361" spans="1:39" s="352" customFormat="1">
      <c r="A361" s="364"/>
      <c r="B361" s="364"/>
      <c r="C361" s="365"/>
      <c r="D361" s="365"/>
      <c r="E361" s="365"/>
      <c r="F361" s="365"/>
      <c r="G361" s="365"/>
      <c r="H361" s="383"/>
      <c r="I361" s="365"/>
      <c r="J361" s="383"/>
      <c r="K361" s="365"/>
      <c r="L361" s="365"/>
      <c r="M361" s="365"/>
      <c r="N361" s="383"/>
      <c r="O361" s="365"/>
      <c r="P361" s="365"/>
      <c r="Q361" s="365"/>
      <c r="R361" s="383"/>
      <c r="S361" s="365"/>
      <c r="T361" s="383"/>
      <c r="U361" s="365"/>
      <c r="V361" s="383"/>
      <c r="W361" s="365"/>
      <c r="X361" s="383"/>
      <c r="Y361" s="365"/>
      <c r="Z361" s="383"/>
      <c r="AA361" s="365"/>
      <c r="AB361" s="365"/>
      <c r="AC361" s="365"/>
      <c r="AD361" s="383"/>
      <c r="AE361" s="365"/>
      <c r="AF361" s="383"/>
      <c r="AG361" s="365"/>
      <c r="AH361" s="383"/>
      <c r="AI361" s="365"/>
      <c r="AJ361" s="383"/>
      <c r="AK361" s="365"/>
      <c r="AL361" s="383"/>
      <c r="AM361" s="353"/>
    </row>
    <row r="362" spans="1:39" s="352" customFormat="1">
      <c r="A362" s="364"/>
      <c r="B362" s="364"/>
      <c r="C362" s="365"/>
      <c r="D362" s="365"/>
      <c r="E362" s="365"/>
      <c r="F362" s="365"/>
      <c r="G362" s="365"/>
      <c r="H362" s="383"/>
      <c r="I362" s="365"/>
      <c r="J362" s="383"/>
      <c r="K362" s="365"/>
      <c r="L362" s="365"/>
      <c r="M362" s="365"/>
      <c r="N362" s="383"/>
      <c r="O362" s="365"/>
      <c r="P362" s="365"/>
      <c r="Q362" s="365"/>
      <c r="R362" s="383"/>
      <c r="S362" s="365"/>
      <c r="T362" s="383"/>
      <c r="U362" s="365"/>
      <c r="V362" s="383"/>
      <c r="W362" s="365"/>
      <c r="X362" s="383"/>
      <c r="Y362" s="365"/>
      <c r="Z362" s="383"/>
      <c r="AA362" s="365"/>
      <c r="AB362" s="365"/>
      <c r="AC362" s="365"/>
      <c r="AD362" s="383"/>
      <c r="AE362" s="365"/>
      <c r="AF362" s="383"/>
      <c r="AG362" s="365"/>
      <c r="AH362" s="383"/>
      <c r="AI362" s="365"/>
      <c r="AJ362" s="383"/>
      <c r="AK362" s="365"/>
      <c r="AL362" s="383"/>
      <c r="AM362" s="353"/>
    </row>
    <row r="363" spans="1:39" s="352" customFormat="1">
      <c r="A363" s="364"/>
      <c r="B363" s="364"/>
      <c r="C363" s="365"/>
      <c r="D363" s="365"/>
      <c r="E363" s="365"/>
      <c r="F363" s="365"/>
      <c r="G363" s="365"/>
      <c r="H363" s="383"/>
      <c r="I363" s="365"/>
      <c r="J363" s="383"/>
      <c r="K363" s="365"/>
      <c r="L363" s="365"/>
      <c r="M363" s="365"/>
      <c r="N363" s="383"/>
      <c r="O363" s="365"/>
      <c r="P363" s="365"/>
      <c r="Q363" s="365"/>
      <c r="R363" s="383"/>
      <c r="S363" s="365"/>
      <c r="T363" s="383"/>
      <c r="U363" s="365"/>
      <c r="V363" s="383"/>
      <c r="W363" s="365"/>
      <c r="X363" s="383"/>
      <c r="Y363" s="365"/>
      <c r="Z363" s="383"/>
      <c r="AA363" s="365"/>
      <c r="AB363" s="365"/>
      <c r="AC363" s="365"/>
      <c r="AD363" s="383"/>
      <c r="AE363" s="365"/>
      <c r="AF363" s="383"/>
      <c r="AG363" s="365"/>
      <c r="AH363" s="383"/>
      <c r="AI363" s="365"/>
      <c r="AJ363" s="383"/>
      <c r="AK363" s="365"/>
      <c r="AL363" s="383"/>
      <c r="AM363" s="353"/>
    </row>
    <row r="364" spans="1:39" s="352" customFormat="1">
      <c r="A364" s="364"/>
      <c r="B364" s="364"/>
      <c r="C364" s="365"/>
      <c r="D364" s="365"/>
      <c r="E364" s="365"/>
      <c r="F364" s="365"/>
      <c r="G364" s="365"/>
      <c r="H364" s="383"/>
      <c r="I364" s="365"/>
      <c r="J364" s="383"/>
      <c r="K364" s="365"/>
      <c r="L364" s="365"/>
      <c r="M364" s="365"/>
      <c r="N364" s="383"/>
      <c r="O364" s="365"/>
      <c r="P364" s="365"/>
      <c r="Q364" s="365"/>
      <c r="R364" s="383"/>
      <c r="S364" s="365"/>
      <c r="T364" s="383"/>
      <c r="U364" s="365"/>
      <c r="V364" s="383"/>
      <c r="W364" s="365"/>
      <c r="X364" s="383"/>
      <c r="Y364" s="365"/>
      <c r="Z364" s="383"/>
      <c r="AA364" s="365"/>
      <c r="AB364" s="365"/>
      <c r="AC364" s="365"/>
      <c r="AD364" s="383"/>
      <c r="AE364" s="365"/>
      <c r="AF364" s="383"/>
      <c r="AG364" s="365"/>
      <c r="AH364" s="383"/>
      <c r="AI364" s="365"/>
      <c r="AJ364" s="383"/>
      <c r="AK364" s="365"/>
      <c r="AL364" s="383"/>
      <c r="AM364" s="353"/>
    </row>
    <row r="365" spans="1:39" s="352" customFormat="1">
      <c r="A365" s="364"/>
      <c r="B365" s="364"/>
      <c r="C365" s="365"/>
      <c r="D365" s="365"/>
      <c r="E365" s="365"/>
      <c r="F365" s="365"/>
      <c r="G365" s="365"/>
      <c r="H365" s="383"/>
      <c r="I365" s="365"/>
      <c r="J365" s="383"/>
      <c r="K365" s="365"/>
      <c r="L365" s="365"/>
      <c r="M365" s="365"/>
      <c r="N365" s="383"/>
      <c r="O365" s="365"/>
      <c r="P365" s="365"/>
      <c r="Q365" s="365"/>
      <c r="R365" s="383"/>
      <c r="S365" s="365"/>
      <c r="T365" s="383"/>
      <c r="U365" s="365"/>
      <c r="V365" s="383"/>
      <c r="W365" s="365"/>
      <c r="X365" s="383"/>
      <c r="Y365" s="365"/>
      <c r="Z365" s="383"/>
      <c r="AA365" s="365"/>
      <c r="AB365" s="365"/>
      <c r="AC365" s="365"/>
      <c r="AD365" s="383"/>
      <c r="AE365" s="365"/>
      <c r="AF365" s="383"/>
      <c r="AG365" s="365"/>
      <c r="AH365" s="383"/>
      <c r="AI365" s="365"/>
      <c r="AJ365" s="383"/>
      <c r="AK365" s="365"/>
      <c r="AL365" s="383"/>
      <c r="AM365" s="353"/>
    </row>
    <row r="366" spans="1:39" s="352" customFormat="1">
      <c r="A366" s="364"/>
      <c r="B366" s="364"/>
      <c r="C366" s="365"/>
      <c r="D366" s="365"/>
      <c r="E366" s="365"/>
      <c r="F366" s="365"/>
      <c r="G366" s="365"/>
      <c r="H366" s="383"/>
      <c r="I366" s="365"/>
      <c r="J366" s="383"/>
      <c r="K366" s="365"/>
      <c r="L366" s="365"/>
      <c r="M366" s="365"/>
      <c r="N366" s="383"/>
      <c r="O366" s="365"/>
      <c r="P366" s="365"/>
      <c r="Q366" s="365"/>
      <c r="R366" s="383"/>
      <c r="S366" s="365"/>
      <c r="T366" s="383"/>
      <c r="U366" s="365"/>
      <c r="V366" s="383"/>
      <c r="W366" s="365"/>
      <c r="X366" s="383"/>
      <c r="Y366" s="365"/>
      <c r="Z366" s="383"/>
      <c r="AA366" s="365"/>
      <c r="AB366" s="365"/>
      <c r="AC366" s="365"/>
      <c r="AD366" s="383"/>
      <c r="AE366" s="365"/>
      <c r="AF366" s="383"/>
      <c r="AG366" s="365"/>
      <c r="AH366" s="383"/>
      <c r="AI366" s="365"/>
      <c r="AJ366" s="383"/>
      <c r="AK366" s="365"/>
      <c r="AL366" s="383"/>
      <c r="AM366" s="353"/>
    </row>
    <row r="367" spans="1:39" s="352" customFormat="1">
      <c r="A367" s="364"/>
      <c r="B367" s="364"/>
      <c r="C367" s="365"/>
      <c r="D367" s="365"/>
      <c r="E367" s="365"/>
      <c r="F367" s="365"/>
      <c r="G367" s="365"/>
      <c r="H367" s="383"/>
      <c r="I367" s="365"/>
      <c r="J367" s="383"/>
      <c r="K367" s="365"/>
      <c r="L367" s="365"/>
      <c r="M367" s="365"/>
      <c r="N367" s="383"/>
      <c r="O367" s="365"/>
      <c r="P367" s="365"/>
      <c r="Q367" s="365"/>
      <c r="R367" s="383"/>
      <c r="S367" s="365"/>
      <c r="T367" s="383"/>
      <c r="U367" s="365"/>
      <c r="V367" s="383"/>
      <c r="W367" s="365"/>
      <c r="X367" s="383"/>
      <c r="Y367" s="365"/>
      <c r="Z367" s="383"/>
      <c r="AA367" s="365"/>
      <c r="AB367" s="365"/>
      <c r="AC367" s="365"/>
      <c r="AD367" s="383"/>
      <c r="AE367" s="365"/>
      <c r="AF367" s="383"/>
      <c r="AG367" s="365"/>
      <c r="AH367" s="383"/>
      <c r="AI367" s="365"/>
      <c r="AJ367" s="383"/>
      <c r="AK367" s="365"/>
      <c r="AL367" s="383"/>
      <c r="AM367" s="353"/>
    </row>
    <row r="368" spans="1:39" s="352" customFormat="1">
      <c r="A368" s="364"/>
      <c r="B368" s="364"/>
      <c r="C368" s="365"/>
      <c r="D368" s="365"/>
      <c r="E368" s="365"/>
      <c r="F368" s="365"/>
      <c r="G368" s="365"/>
      <c r="H368" s="383"/>
      <c r="I368" s="365"/>
      <c r="J368" s="383"/>
      <c r="K368" s="365"/>
      <c r="L368" s="365"/>
      <c r="M368" s="365"/>
      <c r="N368" s="383"/>
      <c r="O368" s="365"/>
      <c r="P368" s="365"/>
      <c r="Q368" s="365"/>
      <c r="R368" s="383"/>
      <c r="S368" s="365"/>
      <c r="T368" s="383"/>
      <c r="U368" s="365"/>
      <c r="V368" s="383"/>
      <c r="W368" s="365"/>
      <c r="X368" s="383"/>
      <c r="Y368" s="365"/>
      <c r="Z368" s="383"/>
      <c r="AA368" s="365"/>
      <c r="AB368" s="365"/>
      <c r="AC368" s="365"/>
      <c r="AD368" s="383"/>
      <c r="AE368" s="365"/>
      <c r="AF368" s="383"/>
      <c r="AG368" s="365"/>
      <c r="AH368" s="383"/>
      <c r="AI368" s="365"/>
      <c r="AJ368" s="383"/>
      <c r="AK368" s="365"/>
      <c r="AL368" s="383"/>
      <c r="AM368" s="353"/>
    </row>
    <row r="369" spans="1:39" s="352" customFormat="1">
      <c r="A369" s="364"/>
      <c r="B369" s="364"/>
      <c r="C369" s="365"/>
      <c r="D369" s="365"/>
      <c r="E369" s="365"/>
      <c r="F369" s="365"/>
      <c r="G369" s="365"/>
      <c r="H369" s="383"/>
      <c r="I369" s="365"/>
      <c r="J369" s="383"/>
      <c r="K369" s="365"/>
      <c r="L369" s="365"/>
      <c r="M369" s="365"/>
      <c r="N369" s="383"/>
      <c r="O369" s="365"/>
      <c r="P369" s="365"/>
      <c r="Q369" s="365"/>
      <c r="R369" s="383"/>
      <c r="S369" s="365"/>
      <c r="T369" s="383"/>
      <c r="U369" s="365"/>
      <c r="V369" s="383"/>
      <c r="W369" s="365"/>
      <c r="X369" s="383"/>
      <c r="Y369" s="365"/>
      <c r="Z369" s="383"/>
      <c r="AA369" s="365"/>
      <c r="AB369" s="365"/>
      <c r="AC369" s="365"/>
      <c r="AD369" s="383"/>
      <c r="AE369" s="365"/>
      <c r="AF369" s="383"/>
      <c r="AG369" s="365"/>
      <c r="AH369" s="383"/>
      <c r="AI369" s="365"/>
      <c r="AJ369" s="383"/>
      <c r="AK369" s="365"/>
      <c r="AL369" s="383"/>
      <c r="AM369" s="353"/>
    </row>
    <row r="370" spans="1:39" s="352" customFormat="1">
      <c r="A370" s="364"/>
      <c r="B370" s="364"/>
      <c r="C370" s="365"/>
      <c r="D370" s="365"/>
      <c r="E370" s="365"/>
      <c r="F370" s="365"/>
      <c r="G370" s="365"/>
      <c r="H370" s="383"/>
      <c r="I370" s="365"/>
      <c r="J370" s="383"/>
      <c r="K370" s="365"/>
      <c r="L370" s="365"/>
      <c r="M370" s="365"/>
      <c r="N370" s="383"/>
      <c r="O370" s="365"/>
      <c r="P370" s="365"/>
      <c r="Q370" s="365"/>
      <c r="R370" s="383"/>
      <c r="S370" s="365"/>
      <c r="T370" s="383"/>
      <c r="U370" s="365"/>
      <c r="V370" s="383"/>
      <c r="W370" s="365"/>
      <c r="X370" s="383"/>
      <c r="Y370" s="365"/>
      <c r="Z370" s="383"/>
      <c r="AA370" s="365"/>
      <c r="AB370" s="365"/>
      <c r="AC370" s="365"/>
      <c r="AD370" s="383"/>
      <c r="AE370" s="365"/>
      <c r="AF370" s="383"/>
      <c r="AG370" s="365"/>
      <c r="AH370" s="383"/>
      <c r="AI370" s="365"/>
      <c r="AJ370" s="383"/>
      <c r="AK370" s="365"/>
      <c r="AL370" s="383"/>
      <c r="AM370" s="353"/>
    </row>
    <row r="371" spans="1:39" s="352" customFormat="1">
      <c r="A371" s="364"/>
      <c r="B371" s="364"/>
      <c r="C371" s="365"/>
      <c r="D371" s="365"/>
      <c r="E371" s="365"/>
      <c r="F371" s="365"/>
      <c r="G371" s="365"/>
      <c r="H371" s="383"/>
      <c r="I371" s="365"/>
      <c r="J371" s="383"/>
      <c r="K371" s="365"/>
      <c r="L371" s="365"/>
      <c r="M371" s="365"/>
      <c r="N371" s="383"/>
      <c r="O371" s="365"/>
      <c r="P371" s="365"/>
      <c r="Q371" s="365"/>
      <c r="R371" s="383"/>
      <c r="S371" s="365"/>
      <c r="T371" s="383"/>
      <c r="U371" s="365"/>
      <c r="V371" s="383"/>
      <c r="W371" s="365"/>
      <c r="X371" s="383"/>
      <c r="Y371" s="365"/>
      <c r="Z371" s="383"/>
      <c r="AA371" s="365"/>
      <c r="AB371" s="365"/>
      <c r="AC371" s="365"/>
      <c r="AD371" s="383"/>
      <c r="AE371" s="365"/>
      <c r="AF371" s="383"/>
      <c r="AG371" s="365"/>
      <c r="AH371" s="383"/>
      <c r="AI371" s="365"/>
      <c r="AJ371" s="383"/>
      <c r="AK371" s="365"/>
      <c r="AL371" s="383"/>
      <c r="AM371" s="353"/>
    </row>
    <row r="372" spans="1:39" s="352" customFormat="1">
      <c r="A372" s="364"/>
      <c r="B372" s="364"/>
      <c r="C372" s="365"/>
      <c r="D372" s="365"/>
      <c r="E372" s="365"/>
      <c r="F372" s="365"/>
      <c r="G372" s="365"/>
      <c r="H372" s="383"/>
      <c r="I372" s="365"/>
      <c r="J372" s="383"/>
      <c r="K372" s="365"/>
      <c r="L372" s="365"/>
      <c r="M372" s="365"/>
      <c r="N372" s="383"/>
      <c r="O372" s="365"/>
      <c r="P372" s="365"/>
      <c r="Q372" s="365"/>
      <c r="R372" s="383"/>
      <c r="S372" s="365"/>
      <c r="T372" s="383"/>
      <c r="U372" s="365"/>
      <c r="V372" s="383"/>
      <c r="W372" s="365"/>
      <c r="X372" s="383"/>
      <c r="Y372" s="365"/>
      <c r="Z372" s="383"/>
      <c r="AA372" s="365"/>
      <c r="AB372" s="365"/>
      <c r="AC372" s="365"/>
      <c r="AD372" s="383"/>
      <c r="AE372" s="365"/>
      <c r="AF372" s="383"/>
      <c r="AG372" s="365"/>
      <c r="AH372" s="383"/>
      <c r="AI372" s="365"/>
      <c r="AJ372" s="383"/>
      <c r="AK372" s="365"/>
      <c r="AL372" s="383"/>
      <c r="AM372" s="353"/>
    </row>
    <row r="373" spans="1:39" s="352" customFormat="1">
      <c r="A373" s="364"/>
      <c r="B373" s="364"/>
      <c r="C373" s="365"/>
      <c r="D373" s="365"/>
      <c r="E373" s="365"/>
      <c r="F373" s="365"/>
      <c r="G373" s="365"/>
      <c r="H373" s="383"/>
      <c r="I373" s="365"/>
      <c r="J373" s="383"/>
      <c r="K373" s="365"/>
      <c r="L373" s="365"/>
      <c r="M373" s="365"/>
      <c r="N373" s="383"/>
      <c r="O373" s="365"/>
      <c r="P373" s="365"/>
      <c r="Q373" s="365"/>
      <c r="R373" s="383"/>
      <c r="S373" s="365"/>
      <c r="T373" s="383"/>
      <c r="U373" s="365"/>
      <c r="V373" s="383"/>
      <c r="W373" s="365"/>
      <c r="X373" s="383"/>
      <c r="Y373" s="365"/>
      <c r="Z373" s="383"/>
      <c r="AA373" s="365"/>
      <c r="AB373" s="365"/>
      <c r="AC373" s="365"/>
      <c r="AD373" s="383"/>
      <c r="AE373" s="365"/>
      <c r="AF373" s="383"/>
      <c r="AG373" s="365"/>
      <c r="AH373" s="383"/>
      <c r="AI373" s="365"/>
      <c r="AJ373" s="383"/>
      <c r="AK373" s="365"/>
      <c r="AL373" s="383"/>
      <c r="AM373" s="353"/>
    </row>
    <row r="374" spans="1:39" s="352" customFormat="1">
      <c r="A374" s="364"/>
      <c r="B374" s="364"/>
      <c r="C374" s="365"/>
      <c r="D374" s="365"/>
      <c r="E374" s="365"/>
      <c r="F374" s="365"/>
      <c r="G374" s="365"/>
      <c r="H374" s="383"/>
      <c r="I374" s="365"/>
      <c r="J374" s="383"/>
      <c r="K374" s="365"/>
      <c r="L374" s="365"/>
      <c r="M374" s="365"/>
      <c r="N374" s="383"/>
      <c r="O374" s="365"/>
      <c r="P374" s="365"/>
      <c r="Q374" s="365"/>
      <c r="R374" s="383"/>
      <c r="S374" s="365"/>
      <c r="T374" s="383"/>
      <c r="U374" s="365"/>
      <c r="V374" s="383"/>
      <c r="W374" s="365"/>
      <c r="X374" s="383"/>
      <c r="Y374" s="365"/>
      <c r="Z374" s="383"/>
      <c r="AA374" s="365"/>
      <c r="AB374" s="365"/>
      <c r="AC374" s="365"/>
      <c r="AD374" s="383"/>
      <c r="AE374" s="365"/>
      <c r="AF374" s="383"/>
      <c r="AG374" s="365"/>
      <c r="AH374" s="383"/>
      <c r="AI374" s="365"/>
      <c r="AJ374" s="383"/>
      <c r="AK374" s="365"/>
      <c r="AL374" s="383"/>
      <c r="AM374" s="353"/>
    </row>
    <row r="375" spans="1:39" s="352" customFormat="1">
      <c r="A375" s="364"/>
      <c r="B375" s="364"/>
      <c r="C375" s="365"/>
      <c r="D375" s="365"/>
      <c r="E375" s="365"/>
      <c r="F375" s="365"/>
      <c r="G375" s="365"/>
      <c r="H375" s="383"/>
      <c r="I375" s="365"/>
      <c r="J375" s="383"/>
      <c r="K375" s="365"/>
      <c r="L375" s="365"/>
      <c r="M375" s="365"/>
      <c r="N375" s="383"/>
      <c r="O375" s="365"/>
      <c r="P375" s="365"/>
      <c r="Q375" s="365"/>
      <c r="R375" s="383"/>
      <c r="S375" s="365"/>
      <c r="T375" s="383"/>
      <c r="U375" s="365"/>
      <c r="V375" s="383"/>
      <c r="W375" s="365"/>
      <c r="X375" s="383"/>
      <c r="Y375" s="365"/>
      <c r="Z375" s="383"/>
      <c r="AA375" s="365"/>
      <c r="AB375" s="365"/>
      <c r="AC375" s="365"/>
      <c r="AD375" s="383"/>
      <c r="AE375" s="365"/>
      <c r="AF375" s="383"/>
      <c r="AG375" s="365"/>
      <c r="AH375" s="383"/>
      <c r="AI375" s="365"/>
      <c r="AJ375" s="383"/>
      <c r="AK375" s="365"/>
      <c r="AL375" s="383"/>
      <c r="AM375" s="353"/>
    </row>
    <row r="376" spans="1:39" s="352" customFormat="1">
      <c r="A376" s="364"/>
      <c r="B376" s="364"/>
      <c r="C376" s="365"/>
      <c r="D376" s="365"/>
      <c r="E376" s="365"/>
      <c r="F376" s="365"/>
      <c r="G376" s="365"/>
      <c r="H376" s="383"/>
      <c r="I376" s="365"/>
      <c r="J376" s="383"/>
      <c r="K376" s="365"/>
      <c r="L376" s="365"/>
      <c r="M376" s="365"/>
      <c r="N376" s="383"/>
      <c r="O376" s="365"/>
      <c r="P376" s="365"/>
      <c r="Q376" s="365"/>
      <c r="R376" s="383"/>
      <c r="S376" s="365"/>
      <c r="T376" s="383"/>
      <c r="U376" s="365"/>
      <c r="V376" s="383"/>
      <c r="W376" s="365"/>
      <c r="X376" s="383"/>
      <c r="Y376" s="365"/>
      <c r="Z376" s="383"/>
      <c r="AA376" s="365"/>
      <c r="AB376" s="365"/>
      <c r="AC376" s="365"/>
      <c r="AD376" s="383"/>
      <c r="AE376" s="365"/>
      <c r="AF376" s="383"/>
      <c r="AG376" s="365"/>
      <c r="AH376" s="383"/>
      <c r="AI376" s="365"/>
      <c r="AJ376" s="383"/>
      <c r="AK376" s="365"/>
      <c r="AL376" s="383"/>
      <c r="AM376" s="353"/>
    </row>
    <row r="377" spans="1:39" s="352" customFormat="1">
      <c r="A377" s="364"/>
      <c r="B377" s="364"/>
      <c r="C377" s="365"/>
      <c r="D377" s="365"/>
      <c r="E377" s="365"/>
      <c r="F377" s="365"/>
      <c r="G377" s="365"/>
      <c r="H377" s="383"/>
      <c r="I377" s="365"/>
      <c r="J377" s="383"/>
      <c r="K377" s="365"/>
      <c r="L377" s="365"/>
      <c r="M377" s="365"/>
      <c r="N377" s="383"/>
      <c r="O377" s="365"/>
      <c r="P377" s="365"/>
      <c r="Q377" s="365"/>
      <c r="R377" s="383"/>
      <c r="S377" s="365"/>
      <c r="T377" s="383"/>
      <c r="U377" s="365"/>
      <c r="V377" s="383"/>
      <c r="W377" s="365"/>
      <c r="X377" s="383"/>
      <c r="Y377" s="365"/>
      <c r="Z377" s="383"/>
      <c r="AA377" s="365"/>
      <c r="AB377" s="365"/>
      <c r="AC377" s="365"/>
      <c r="AD377" s="383"/>
      <c r="AE377" s="365"/>
      <c r="AF377" s="383"/>
      <c r="AG377" s="365"/>
      <c r="AH377" s="383"/>
      <c r="AI377" s="365"/>
      <c r="AJ377" s="383"/>
      <c r="AK377" s="365"/>
      <c r="AL377" s="383"/>
      <c r="AM377" s="353"/>
    </row>
    <row r="378" spans="1:39" s="352" customFormat="1">
      <c r="A378" s="364"/>
      <c r="B378" s="364"/>
      <c r="C378" s="365"/>
      <c r="D378" s="365"/>
      <c r="E378" s="365"/>
      <c r="F378" s="365"/>
      <c r="G378" s="365"/>
      <c r="H378" s="383"/>
      <c r="I378" s="365"/>
      <c r="J378" s="383"/>
      <c r="K378" s="365"/>
      <c r="L378" s="365"/>
      <c r="M378" s="365"/>
      <c r="N378" s="383"/>
      <c r="O378" s="365"/>
      <c r="P378" s="365"/>
      <c r="Q378" s="365"/>
      <c r="R378" s="383"/>
      <c r="S378" s="365"/>
      <c r="T378" s="383"/>
      <c r="U378" s="365"/>
      <c r="V378" s="383"/>
      <c r="W378" s="365"/>
      <c r="X378" s="383"/>
      <c r="Y378" s="365"/>
      <c r="Z378" s="383"/>
      <c r="AA378" s="365"/>
      <c r="AB378" s="365"/>
      <c r="AC378" s="365"/>
      <c r="AD378" s="383"/>
      <c r="AE378" s="365"/>
      <c r="AF378" s="383"/>
      <c r="AG378" s="365"/>
      <c r="AH378" s="383"/>
      <c r="AI378" s="365"/>
      <c r="AJ378" s="383"/>
      <c r="AK378" s="365"/>
      <c r="AL378" s="383"/>
      <c r="AM378" s="353"/>
    </row>
    <row r="379" spans="1:39" s="352" customFormat="1">
      <c r="A379" s="364"/>
      <c r="B379" s="364"/>
      <c r="C379" s="365"/>
      <c r="D379" s="365"/>
      <c r="E379" s="365"/>
      <c r="F379" s="365"/>
      <c r="G379" s="365"/>
      <c r="H379" s="383"/>
      <c r="I379" s="365"/>
      <c r="J379" s="383"/>
      <c r="K379" s="365"/>
      <c r="L379" s="365"/>
      <c r="M379" s="365"/>
      <c r="N379" s="383"/>
      <c r="O379" s="365"/>
      <c r="P379" s="365"/>
      <c r="Q379" s="365"/>
      <c r="R379" s="383"/>
      <c r="S379" s="365"/>
      <c r="T379" s="383"/>
      <c r="U379" s="365"/>
      <c r="V379" s="383"/>
      <c r="W379" s="365"/>
      <c r="X379" s="383"/>
      <c r="Y379" s="365"/>
      <c r="Z379" s="383"/>
      <c r="AA379" s="365"/>
      <c r="AB379" s="365"/>
      <c r="AC379" s="365"/>
      <c r="AD379" s="383"/>
      <c r="AE379" s="365"/>
      <c r="AF379" s="383"/>
      <c r="AG379" s="365"/>
      <c r="AH379" s="383"/>
      <c r="AI379" s="365"/>
      <c r="AJ379" s="383"/>
      <c r="AK379" s="365"/>
      <c r="AL379" s="383"/>
      <c r="AM379" s="353"/>
    </row>
    <row r="380" spans="1:39" s="352" customFormat="1">
      <c r="A380" s="364"/>
      <c r="B380" s="364"/>
      <c r="C380" s="365"/>
      <c r="D380" s="365"/>
      <c r="E380" s="365"/>
      <c r="F380" s="365"/>
      <c r="G380" s="365"/>
      <c r="H380" s="383"/>
      <c r="I380" s="365"/>
      <c r="J380" s="383"/>
      <c r="K380" s="365"/>
      <c r="L380" s="365"/>
      <c r="M380" s="365"/>
      <c r="N380" s="383"/>
      <c r="O380" s="365"/>
      <c r="P380" s="365"/>
      <c r="Q380" s="365"/>
      <c r="R380" s="383"/>
      <c r="S380" s="365"/>
      <c r="T380" s="383"/>
      <c r="U380" s="365"/>
      <c r="V380" s="383"/>
      <c r="W380" s="365"/>
      <c r="X380" s="383"/>
      <c r="Y380" s="365"/>
      <c r="Z380" s="383"/>
      <c r="AA380" s="365"/>
      <c r="AB380" s="365"/>
      <c r="AC380" s="365"/>
      <c r="AD380" s="383"/>
      <c r="AE380" s="365"/>
      <c r="AF380" s="383"/>
      <c r="AG380" s="365"/>
      <c r="AH380" s="383"/>
      <c r="AI380" s="365"/>
      <c r="AJ380" s="383"/>
      <c r="AK380" s="365"/>
      <c r="AL380" s="383"/>
      <c r="AM380" s="353"/>
    </row>
    <row r="381" spans="1:39" s="352" customFormat="1">
      <c r="A381" s="364"/>
      <c r="B381" s="364"/>
      <c r="C381" s="365"/>
      <c r="D381" s="365"/>
      <c r="E381" s="365"/>
      <c r="F381" s="365"/>
      <c r="G381" s="365"/>
      <c r="H381" s="383"/>
      <c r="I381" s="365"/>
      <c r="J381" s="383"/>
      <c r="K381" s="365"/>
      <c r="L381" s="365"/>
      <c r="M381" s="365"/>
      <c r="N381" s="383"/>
      <c r="O381" s="365"/>
      <c r="P381" s="365"/>
      <c r="Q381" s="365"/>
      <c r="R381" s="383"/>
      <c r="S381" s="365"/>
      <c r="T381" s="383"/>
      <c r="U381" s="365"/>
      <c r="V381" s="383"/>
      <c r="W381" s="365"/>
      <c r="X381" s="383"/>
      <c r="Y381" s="365"/>
      <c r="Z381" s="383"/>
      <c r="AA381" s="365"/>
      <c r="AB381" s="365"/>
      <c r="AC381" s="365"/>
      <c r="AD381" s="383"/>
      <c r="AE381" s="365"/>
      <c r="AF381" s="383"/>
      <c r="AG381" s="365"/>
      <c r="AH381" s="383"/>
      <c r="AI381" s="365"/>
      <c r="AJ381" s="383"/>
      <c r="AK381" s="365"/>
      <c r="AL381" s="383"/>
      <c r="AM381" s="353"/>
    </row>
    <row r="382" spans="1:39" s="352" customFormat="1">
      <c r="A382" s="364"/>
      <c r="B382" s="364"/>
      <c r="C382" s="365"/>
      <c r="D382" s="365"/>
      <c r="E382" s="365"/>
      <c r="F382" s="365"/>
      <c r="G382" s="365"/>
      <c r="H382" s="383"/>
      <c r="I382" s="365"/>
      <c r="J382" s="383"/>
      <c r="K382" s="365"/>
      <c r="L382" s="365"/>
      <c r="M382" s="365"/>
      <c r="N382" s="383"/>
      <c r="O382" s="365"/>
      <c r="P382" s="365"/>
      <c r="Q382" s="365"/>
      <c r="R382" s="383"/>
      <c r="S382" s="365"/>
      <c r="T382" s="383"/>
      <c r="U382" s="365"/>
      <c r="V382" s="383"/>
      <c r="W382" s="365"/>
      <c r="X382" s="383"/>
      <c r="Y382" s="365"/>
      <c r="Z382" s="383"/>
      <c r="AA382" s="365"/>
      <c r="AB382" s="365"/>
      <c r="AC382" s="365"/>
      <c r="AD382" s="383"/>
      <c r="AE382" s="365"/>
      <c r="AF382" s="383"/>
      <c r="AG382" s="365"/>
      <c r="AH382" s="383"/>
      <c r="AI382" s="365"/>
      <c r="AJ382" s="383"/>
      <c r="AK382" s="365"/>
      <c r="AL382" s="383"/>
      <c r="AM382" s="353"/>
    </row>
    <row r="383" spans="1:39" s="352" customFormat="1">
      <c r="A383" s="364"/>
      <c r="B383" s="364"/>
      <c r="C383" s="365"/>
      <c r="D383" s="365"/>
      <c r="E383" s="365"/>
      <c r="F383" s="365"/>
      <c r="G383" s="365"/>
      <c r="H383" s="383"/>
      <c r="I383" s="365"/>
      <c r="J383" s="383"/>
      <c r="K383" s="365"/>
      <c r="L383" s="365"/>
      <c r="M383" s="365"/>
      <c r="N383" s="383"/>
      <c r="O383" s="365"/>
      <c r="P383" s="365"/>
      <c r="Q383" s="365"/>
      <c r="R383" s="383"/>
      <c r="S383" s="365"/>
      <c r="T383" s="383"/>
      <c r="U383" s="365"/>
      <c r="V383" s="383"/>
      <c r="W383" s="365"/>
      <c r="X383" s="383"/>
      <c r="Y383" s="365"/>
      <c r="Z383" s="383"/>
      <c r="AA383" s="365"/>
      <c r="AB383" s="365"/>
      <c r="AC383" s="365"/>
      <c r="AD383" s="383"/>
      <c r="AE383" s="365"/>
      <c r="AF383" s="383"/>
      <c r="AG383" s="365"/>
      <c r="AH383" s="383"/>
      <c r="AI383" s="365"/>
      <c r="AJ383" s="383"/>
      <c r="AK383" s="365"/>
      <c r="AL383" s="383"/>
      <c r="AM383" s="353"/>
    </row>
    <row r="384" spans="1:39" s="352" customFormat="1">
      <c r="A384" s="364"/>
      <c r="B384" s="364"/>
      <c r="C384" s="365"/>
      <c r="D384" s="365"/>
      <c r="E384" s="365"/>
      <c r="F384" s="365"/>
      <c r="G384" s="365"/>
      <c r="H384" s="383"/>
      <c r="I384" s="365"/>
      <c r="J384" s="383"/>
      <c r="K384" s="365"/>
      <c r="L384" s="365"/>
      <c r="M384" s="365"/>
      <c r="N384" s="383"/>
      <c r="O384" s="365"/>
      <c r="P384" s="365"/>
      <c r="Q384" s="365"/>
      <c r="R384" s="383"/>
      <c r="S384" s="365"/>
      <c r="T384" s="383"/>
      <c r="U384" s="365"/>
      <c r="V384" s="383"/>
      <c r="W384" s="365"/>
      <c r="X384" s="383"/>
      <c r="Y384" s="365"/>
      <c r="Z384" s="383"/>
      <c r="AA384" s="365"/>
      <c r="AB384" s="365"/>
      <c r="AC384" s="365"/>
      <c r="AD384" s="383"/>
      <c r="AE384" s="365"/>
      <c r="AF384" s="383"/>
      <c r="AG384" s="365"/>
      <c r="AH384" s="383"/>
      <c r="AI384" s="365"/>
      <c r="AJ384" s="383"/>
      <c r="AK384" s="365"/>
      <c r="AL384" s="383"/>
      <c r="AM384" s="353"/>
    </row>
    <row r="385" spans="1:39" s="352" customFormat="1">
      <c r="A385" s="364"/>
      <c r="B385" s="364"/>
      <c r="C385" s="365"/>
      <c r="D385" s="365"/>
      <c r="E385" s="365"/>
      <c r="F385" s="365"/>
      <c r="G385" s="365"/>
      <c r="H385" s="383"/>
      <c r="I385" s="365"/>
      <c r="J385" s="383"/>
      <c r="K385" s="365"/>
      <c r="L385" s="365"/>
      <c r="M385" s="365"/>
      <c r="N385" s="383"/>
      <c r="O385" s="365"/>
      <c r="P385" s="365"/>
      <c r="Q385" s="365"/>
      <c r="R385" s="383"/>
      <c r="S385" s="365"/>
      <c r="T385" s="383"/>
      <c r="U385" s="365"/>
      <c r="V385" s="383"/>
      <c r="W385" s="365"/>
      <c r="X385" s="383"/>
      <c r="Y385" s="365"/>
      <c r="Z385" s="383"/>
      <c r="AA385" s="365"/>
      <c r="AB385" s="365"/>
      <c r="AC385" s="365"/>
      <c r="AD385" s="383"/>
      <c r="AE385" s="365"/>
      <c r="AF385" s="383"/>
      <c r="AG385" s="365"/>
      <c r="AH385" s="383"/>
      <c r="AI385" s="365"/>
      <c r="AJ385" s="383"/>
      <c r="AK385" s="365"/>
      <c r="AL385" s="383"/>
      <c r="AM385" s="353"/>
    </row>
    <row r="386" spans="1:39" s="352" customFormat="1">
      <c r="A386" s="364"/>
      <c r="B386" s="364"/>
      <c r="C386" s="365"/>
      <c r="D386" s="365"/>
      <c r="E386" s="365"/>
      <c r="F386" s="365"/>
      <c r="G386" s="365"/>
      <c r="H386" s="383"/>
      <c r="I386" s="365"/>
      <c r="J386" s="383"/>
      <c r="K386" s="365"/>
      <c r="L386" s="365"/>
      <c r="M386" s="365"/>
      <c r="N386" s="383"/>
      <c r="O386" s="365"/>
      <c r="P386" s="365"/>
      <c r="Q386" s="365"/>
      <c r="R386" s="383"/>
      <c r="S386" s="365"/>
      <c r="T386" s="383"/>
      <c r="U386" s="365"/>
      <c r="V386" s="383"/>
      <c r="W386" s="365"/>
      <c r="X386" s="383"/>
      <c r="Y386" s="365"/>
      <c r="Z386" s="383"/>
      <c r="AA386" s="365"/>
      <c r="AB386" s="365"/>
      <c r="AC386" s="365"/>
      <c r="AD386" s="383"/>
      <c r="AE386" s="365"/>
      <c r="AF386" s="383"/>
      <c r="AG386" s="365"/>
      <c r="AH386" s="383"/>
      <c r="AI386" s="365"/>
      <c r="AJ386" s="383"/>
      <c r="AK386" s="365"/>
      <c r="AL386" s="383"/>
      <c r="AM386" s="353"/>
    </row>
    <row r="387" spans="1:39" s="352" customFormat="1">
      <c r="A387" s="364"/>
      <c r="B387" s="364"/>
      <c r="C387" s="365"/>
      <c r="D387" s="365"/>
      <c r="E387" s="365"/>
      <c r="F387" s="365"/>
      <c r="G387" s="365"/>
      <c r="H387" s="383"/>
      <c r="I387" s="365"/>
      <c r="J387" s="383"/>
      <c r="K387" s="365"/>
      <c r="L387" s="365"/>
      <c r="M387" s="365"/>
      <c r="N387" s="383"/>
      <c r="O387" s="365"/>
      <c r="P387" s="365"/>
      <c r="Q387" s="365"/>
      <c r="R387" s="383"/>
      <c r="S387" s="365"/>
      <c r="T387" s="383"/>
      <c r="U387" s="365"/>
      <c r="V387" s="383"/>
      <c r="W387" s="365"/>
      <c r="X387" s="383"/>
      <c r="Y387" s="365"/>
      <c r="Z387" s="383"/>
      <c r="AA387" s="365"/>
      <c r="AB387" s="365"/>
      <c r="AC387" s="365"/>
      <c r="AD387" s="383"/>
      <c r="AE387" s="365"/>
      <c r="AF387" s="383"/>
      <c r="AG387" s="365"/>
      <c r="AH387" s="383"/>
      <c r="AI387" s="365"/>
      <c r="AJ387" s="383"/>
      <c r="AK387" s="365"/>
      <c r="AL387" s="383"/>
      <c r="AM387" s="353"/>
    </row>
    <row r="388" spans="1:39" s="352" customFormat="1">
      <c r="A388" s="364"/>
      <c r="B388" s="364"/>
      <c r="C388" s="365"/>
      <c r="D388" s="365"/>
      <c r="E388" s="365"/>
      <c r="F388" s="365"/>
      <c r="G388" s="365"/>
      <c r="H388" s="383"/>
      <c r="I388" s="365"/>
      <c r="J388" s="383"/>
      <c r="K388" s="365"/>
      <c r="L388" s="365"/>
      <c r="M388" s="365"/>
      <c r="N388" s="383"/>
      <c r="O388" s="365"/>
      <c r="P388" s="365"/>
      <c r="Q388" s="365"/>
      <c r="R388" s="383"/>
      <c r="S388" s="365"/>
      <c r="T388" s="383"/>
      <c r="U388" s="365"/>
      <c r="V388" s="383"/>
      <c r="W388" s="365"/>
      <c r="X388" s="383"/>
      <c r="Y388" s="365"/>
      <c r="Z388" s="383"/>
      <c r="AA388" s="365"/>
      <c r="AB388" s="365"/>
      <c r="AC388" s="365"/>
      <c r="AD388" s="383"/>
      <c r="AE388" s="365"/>
      <c r="AF388" s="383"/>
      <c r="AG388" s="365"/>
      <c r="AH388" s="383"/>
      <c r="AI388" s="365"/>
      <c r="AJ388" s="383"/>
      <c r="AK388" s="365"/>
      <c r="AL388" s="383"/>
      <c r="AM388" s="353"/>
    </row>
    <row r="389" spans="1:39" s="352" customFormat="1">
      <c r="A389" s="364"/>
      <c r="B389" s="364"/>
      <c r="C389" s="365"/>
      <c r="D389" s="365"/>
      <c r="E389" s="365"/>
      <c r="F389" s="365"/>
      <c r="G389" s="365"/>
      <c r="H389" s="383"/>
      <c r="I389" s="365"/>
      <c r="J389" s="383"/>
      <c r="K389" s="365"/>
      <c r="L389" s="365"/>
      <c r="M389" s="365"/>
      <c r="N389" s="383"/>
      <c r="O389" s="365"/>
      <c r="P389" s="365"/>
      <c r="Q389" s="365"/>
      <c r="R389" s="383"/>
      <c r="S389" s="365"/>
      <c r="T389" s="383"/>
      <c r="U389" s="365"/>
      <c r="V389" s="383"/>
      <c r="W389" s="365"/>
      <c r="X389" s="383"/>
      <c r="Y389" s="365"/>
      <c r="Z389" s="383"/>
      <c r="AA389" s="365"/>
      <c r="AB389" s="365"/>
      <c r="AC389" s="365"/>
      <c r="AD389" s="383"/>
      <c r="AE389" s="365"/>
      <c r="AF389" s="383"/>
      <c r="AG389" s="365"/>
      <c r="AH389" s="383"/>
      <c r="AI389" s="365"/>
      <c r="AJ389" s="383"/>
      <c r="AK389" s="365"/>
      <c r="AL389" s="383"/>
      <c r="AM389" s="353"/>
    </row>
    <row r="390" spans="1:39" s="352" customFormat="1">
      <c r="A390" s="364"/>
      <c r="B390" s="364"/>
      <c r="C390" s="365"/>
      <c r="D390" s="365"/>
      <c r="E390" s="365"/>
      <c r="F390" s="365"/>
      <c r="G390" s="365"/>
      <c r="H390" s="383"/>
      <c r="I390" s="365"/>
      <c r="J390" s="383"/>
      <c r="K390" s="365"/>
      <c r="L390" s="365"/>
      <c r="M390" s="365"/>
      <c r="N390" s="383"/>
      <c r="O390" s="365"/>
      <c r="P390" s="365"/>
      <c r="Q390" s="365"/>
      <c r="R390" s="383"/>
      <c r="S390" s="365"/>
      <c r="T390" s="383"/>
      <c r="U390" s="365"/>
      <c r="V390" s="383"/>
      <c r="W390" s="365"/>
      <c r="X390" s="383"/>
      <c r="Y390" s="365"/>
      <c r="Z390" s="383"/>
      <c r="AA390" s="365"/>
      <c r="AB390" s="365"/>
      <c r="AC390" s="365"/>
      <c r="AD390" s="383"/>
      <c r="AE390" s="365"/>
      <c r="AF390" s="383"/>
      <c r="AG390" s="365"/>
      <c r="AH390" s="383"/>
      <c r="AI390" s="365"/>
      <c r="AJ390" s="383"/>
      <c r="AK390" s="365"/>
      <c r="AL390" s="383"/>
      <c r="AM390" s="353"/>
    </row>
    <row r="391" spans="1:39" s="352" customFormat="1">
      <c r="A391" s="364"/>
      <c r="B391" s="364"/>
      <c r="C391" s="365"/>
      <c r="D391" s="365"/>
      <c r="E391" s="365"/>
      <c r="F391" s="365"/>
      <c r="G391" s="365"/>
      <c r="H391" s="383"/>
      <c r="I391" s="365"/>
      <c r="J391" s="383"/>
      <c r="K391" s="365"/>
      <c r="L391" s="365"/>
      <c r="M391" s="365"/>
      <c r="N391" s="383"/>
      <c r="O391" s="365"/>
      <c r="P391" s="365"/>
      <c r="Q391" s="365"/>
      <c r="R391" s="383"/>
      <c r="S391" s="365"/>
      <c r="T391" s="383"/>
      <c r="U391" s="365"/>
      <c r="V391" s="383"/>
      <c r="W391" s="365"/>
      <c r="X391" s="383"/>
      <c r="Y391" s="365"/>
      <c r="Z391" s="383"/>
      <c r="AA391" s="365"/>
      <c r="AB391" s="365"/>
      <c r="AC391" s="365"/>
      <c r="AD391" s="383"/>
      <c r="AE391" s="365"/>
      <c r="AF391" s="383"/>
      <c r="AG391" s="365"/>
      <c r="AH391" s="383"/>
      <c r="AI391" s="365"/>
      <c r="AJ391" s="383"/>
      <c r="AK391" s="365"/>
      <c r="AL391" s="383"/>
      <c r="AM391" s="353"/>
    </row>
    <row r="392" spans="1:39" s="352" customFormat="1">
      <c r="A392" s="364"/>
      <c r="B392" s="364"/>
      <c r="C392" s="365"/>
      <c r="D392" s="365"/>
      <c r="E392" s="365"/>
      <c r="F392" s="365"/>
      <c r="G392" s="365"/>
      <c r="H392" s="383"/>
      <c r="I392" s="365"/>
      <c r="J392" s="383"/>
      <c r="K392" s="365"/>
      <c r="L392" s="365"/>
      <c r="M392" s="365"/>
      <c r="N392" s="383"/>
      <c r="O392" s="365"/>
      <c r="P392" s="365"/>
      <c r="Q392" s="365"/>
      <c r="R392" s="383"/>
      <c r="S392" s="365"/>
      <c r="T392" s="383"/>
      <c r="U392" s="365"/>
      <c r="V392" s="383"/>
      <c r="W392" s="365"/>
      <c r="X392" s="383"/>
      <c r="Y392" s="365"/>
      <c r="Z392" s="383"/>
      <c r="AA392" s="365"/>
      <c r="AB392" s="365"/>
      <c r="AC392" s="365"/>
      <c r="AD392" s="383"/>
      <c r="AE392" s="365"/>
      <c r="AF392" s="383"/>
      <c r="AG392" s="365"/>
      <c r="AH392" s="383"/>
      <c r="AI392" s="365"/>
      <c r="AJ392" s="383"/>
      <c r="AK392" s="365"/>
      <c r="AL392" s="383"/>
      <c r="AM392" s="353"/>
    </row>
    <row r="393" spans="1:39" s="352" customFormat="1">
      <c r="A393" s="364"/>
      <c r="B393" s="364"/>
      <c r="C393" s="365"/>
      <c r="D393" s="365"/>
      <c r="E393" s="365"/>
      <c r="F393" s="365"/>
      <c r="G393" s="365"/>
      <c r="H393" s="383"/>
      <c r="I393" s="365"/>
      <c r="J393" s="383"/>
      <c r="K393" s="365"/>
      <c r="L393" s="365"/>
      <c r="M393" s="365"/>
      <c r="N393" s="383"/>
      <c r="O393" s="365"/>
      <c r="P393" s="365"/>
      <c r="Q393" s="365"/>
      <c r="R393" s="383"/>
      <c r="S393" s="365"/>
      <c r="T393" s="383"/>
      <c r="U393" s="365"/>
      <c r="V393" s="383"/>
      <c r="W393" s="365"/>
      <c r="X393" s="383"/>
      <c r="Y393" s="365"/>
      <c r="Z393" s="383"/>
      <c r="AA393" s="365"/>
      <c r="AB393" s="365"/>
      <c r="AC393" s="365"/>
      <c r="AD393" s="383"/>
      <c r="AE393" s="365"/>
      <c r="AF393" s="383"/>
      <c r="AG393" s="365"/>
      <c r="AH393" s="383"/>
      <c r="AI393" s="365"/>
      <c r="AJ393" s="383"/>
      <c r="AK393" s="365"/>
      <c r="AL393" s="383"/>
      <c r="AM393" s="353"/>
    </row>
    <row r="394" spans="1:39" s="352" customFormat="1">
      <c r="A394" s="364"/>
      <c r="B394" s="364"/>
      <c r="C394" s="365"/>
      <c r="D394" s="365"/>
      <c r="E394" s="365"/>
      <c r="F394" s="365"/>
      <c r="G394" s="365"/>
      <c r="H394" s="383"/>
      <c r="I394" s="365"/>
      <c r="J394" s="383"/>
      <c r="K394" s="365"/>
      <c r="L394" s="365"/>
      <c r="M394" s="365"/>
      <c r="N394" s="383"/>
      <c r="O394" s="365"/>
      <c r="P394" s="365"/>
      <c r="Q394" s="365"/>
      <c r="R394" s="383"/>
      <c r="S394" s="365"/>
      <c r="T394" s="383"/>
      <c r="U394" s="365"/>
      <c r="V394" s="383"/>
      <c r="W394" s="365"/>
      <c r="X394" s="383"/>
      <c r="Y394" s="365"/>
      <c r="Z394" s="383"/>
      <c r="AA394" s="365"/>
      <c r="AB394" s="365"/>
      <c r="AC394" s="365"/>
      <c r="AD394" s="383"/>
      <c r="AE394" s="365"/>
      <c r="AF394" s="383"/>
      <c r="AG394" s="365"/>
      <c r="AH394" s="383"/>
      <c r="AI394" s="365"/>
      <c r="AJ394" s="383"/>
      <c r="AK394" s="365"/>
      <c r="AL394" s="383"/>
      <c r="AM394" s="353"/>
    </row>
    <row r="395" spans="1:39" s="352" customFormat="1">
      <c r="A395" s="364"/>
      <c r="B395" s="364"/>
      <c r="C395" s="365"/>
      <c r="D395" s="365"/>
      <c r="E395" s="365"/>
      <c r="F395" s="365"/>
      <c r="G395" s="365"/>
      <c r="H395" s="383"/>
      <c r="I395" s="365"/>
      <c r="J395" s="383"/>
      <c r="K395" s="365"/>
      <c r="L395" s="365"/>
      <c r="M395" s="365"/>
      <c r="N395" s="383"/>
      <c r="O395" s="365"/>
      <c r="P395" s="365"/>
      <c r="Q395" s="365"/>
      <c r="R395" s="383"/>
      <c r="S395" s="365"/>
      <c r="T395" s="383"/>
      <c r="U395" s="365"/>
      <c r="V395" s="383"/>
      <c r="W395" s="365"/>
      <c r="X395" s="383"/>
      <c r="Y395" s="365"/>
      <c r="Z395" s="383"/>
      <c r="AA395" s="365"/>
      <c r="AB395" s="365"/>
      <c r="AC395" s="365"/>
      <c r="AD395" s="383"/>
      <c r="AE395" s="365"/>
      <c r="AF395" s="383"/>
      <c r="AG395" s="365"/>
      <c r="AH395" s="383"/>
      <c r="AI395" s="365"/>
      <c r="AJ395" s="383"/>
      <c r="AK395" s="365"/>
      <c r="AL395" s="383"/>
      <c r="AM395" s="353"/>
    </row>
    <row r="396" spans="1:39" s="352" customFormat="1">
      <c r="A396" s="364"/>
      <c r="B396" s="364"/>
      <c r="C396" s="365"/>
      <c r="D396" s="365"/>
      <c r="E396" s="365"/>
      <c r="F396" s="365"/>
      <c r="G396" s="365"/>
      <c r="H396" s="383"/>
      <c r="I396" s="365"/>
      <c r="J396" s="383"/>
      <c r="K396" s="365"/>
      <c r="L396" s="365"/>
      <c r="M396" s="365"/>
      <c r="N396" s="383"/>
      <c r="O396" s="365"/>
      <c r="P396" s="365"/>
      <c r="Q396" s="365"/>
      <c r="R396" s="383"/>
      <c r="S396" s="365"/>
      <c r="T396" s="383"/>
      <c r="U396" s="365"/>
      <c r="V396" s="383"/>
      <c r="W396" s="365"/>
      <c r="X396" s="383"/>
      <c r="Y396" s="365"/>
      <c r="Z396" s="383"/>
      <c r="AA396" s="365"/>
      <c r="AB396" s="365"/>
      <c r="AC396" s="365"/>
      <c r="AD396" s="383"/>
      <c r="AE396" s="365"/>
      <c r="AF396" s="383"/>
      <c r="AG396" s="365"/>
      <c r="AH396" s="383"/>
      <c r="AI396" s="365"/>
      <c r="AJ396" s="383"/>
      <c r="AK396" s="365"/>
      <c r="AL396" s="383"/>
      <c r="AM396" s="353"/>
    </row>
    <row r="397" spans="1:39" s="352" customFormat="1">
      <c r="A397" s="364"/>
      <c r="B397" s="364"/>
      <c r="C397" s="365"/>
      <c r="D397" s="365"/>
      <c r="E397" s="365"/>
      <c r="F397" s="365"/>
      <c r="G397" s="365"/>
      <c r="H397" s="383"/>
      <c r="I397" s="365"/>
      <c r="J397" s="383"/>
      <c r="K397" s="365"/>
      <c r="L397" s="365"/>
      <c r="M397" s="365"/>
      <c r="N397" s="383"/>
      <c r="O397" s="365"/>
      <c r="P397" s="365"/>
      <c r="Q397" s="365"/>
      <c r="R397" s="383"/>
      <c r="S397" s="365"/>
      <c r="T397" s="383"/>
      <c r="U397" s="365"/>
      <c r="V397" s="383"/>
      <c r="W397" s="365"/>
      <c r="X397" s="383"/>
      <c r="Y397" s="365"/>
      <c r="Z397" s="383"/>
      <c r="AA397" s="365"/>
      <c r="AB397" s="365"/>
      <c r="AC397" s="365"/>
      <c r="AD397" s="383"/>
      <c r="AE397" s="365"/>
      <c r="AF397" s="383"/>
      <c r="AG397" s="365"/>
      <c r="AH397" s="383"/>
      <c r="AI397" s="365"/>
      <c r="AJ397" s="383"/>
      <c r="AK397" s="365"/>
      <c r="AL397" s="383"/>
      <c r="AM397" s="353"/>
    </row>
    <row r="398" spans="1:39" s="352" customFormat="1">
      <c r="A398" s="364"/>
      <c r="B398" s="364"/>
      <c r="C398" s="365"/>
      <c r="D398" s="365"/>
      <c r="E398" s="365"/>
      <c r="F398" s="365"/>
      <c r="G398" s="365"/>
      <c r="H398" s="383"/>
      <c r="I398" s="365"/>
      <c r="J398" s="383"/>
      <c r="K398" s="365"/>
      <c r="L398" s="365"/>
      <c r="M398" s="365"/>
      <c r="N398" s="383"/>
      <c r="O398" s="365"/>
      <c r="P398" s="365"/>
      <c r="Q398" s="365"/>
      <c r="R398" s="383"/>
      <c r="S398" s="365"/>
      <c r="T398" s="383"/>
      <c r="U398" s="365"/>
      <c r="V398" s="383"/>
      <c r="W398" s="365"/>
      <c r="X398" s="383"/>
      <c r="Y398" s="365"/>
      <c r="Z398" s="383"/>
      <c r="AA398" s="365"/>
      <c r="AB398" s="365"/>
      <c r="AC398" s="365"/>
      <c r="AD398" s="383"/>
      <c r="AE398" s="365"/>
      <c r="AF398" s="383"/>
      <c r="AG398" s="365"/>
      <c r="AH398" s="383"/>
      <c r="AI398" s="365"/>
      <c r="AJ398" s="383"/>
      <c r="AK398" s="365"/>
      <c r="AL398" s="383"/>
      <c r="AM398" s="353"/>
    </row>
    <row r="399" spans="1:39" s="352" customFormat="1">
      <c r="A399" s="364"/>
      <c r="B399" s="364"/>
      <c r="C399" s="365"/>
      <c r="D399" s="365"/>
      <c r="E399" s="365"/>
      <c r="F399" s="365"/>
      <c r="G399" s="365"/>
      <c r="H399" s="383"/>
      <c r="I399" s="365"/>
      <c r="J399" s="383"/>
      <c r="K399" s="365"/>
      <c r="L399" s="365"/>
      <c r="M399" s="365"/>
      <c r="N399" s="383"/>
      <c r="O399" s="365"/>
      <c r="P399" s="365"/>
      <c r="Q399" s="365"/>
      <c r="R399" s="383"/>
      <c r="S399" s="365"/>
      <c r="T399" s="383"/>
      <c r="U399" s="365"/>
      <c r="V399" s="383"/>
      <c r="W399" s="365"/>
      <c r="X399" s="383"/>
      <c r="Y399" s="365"/>
      <c r="Z399" s="383"/>
      <c r="AA399" s="365"/>
      <c r="AB399" s="365"/>
      <c r="AC399" s="365"/>
      <c r="AD399" s="383"/>
      <c r="AE399" s="365"/>
      <c r="AF399" s="383"/>
      <c r="AG399" s="365"/>
      <c r="AH399" s="383"/>
      <c r="AI399" s="365"/>
      <c r="AJ399" s="383"/>
      <c r="AK399" s="365"/>
      <c r="AL399" s="383"/>
      <c r="AM399" s="353"/>
    </row>
    <row r="400" spans="1:39" s="352" customFormat="1">
      <c r="A400" s="364"/>
      <c r="B400" s="364"/>
      <c r="C400" s="365"/>
      <c r="D400" s="365"/>
      <c r="E400" s="365"/>
      <c r="F400" s="365"/>
      <c r="G400" s="365"/>
      <c r="H400" s="383"/>
      <c r="I400" s="365"/>
      <c r="J400" s="383"/>
      <c r="K400" s="365"/>
      <c r="L400" s="365"/>
      <c r="M400" s="365"/>
      <c r="N400" s="383"/>
      <c r="O400" s="365"/>
      <c r="P400" s="365"/>
      <c r="Q400" s="365"/>
      <c r="R400" s="383"/>
      <c r="S400" s="365"/>
      <c r="T400" s="383"/>
      <c r="U400" s="365"/>
      <c r="V400" s="383"/>
      <c r="W400" s="365"/>
      <c r="X400" s="383"/>
      <c r="Y400" s="365"/>
      <c r="Z400" s="383"/>
      <c r="AA400" s="365"/>
      <c r="AB400" s="365"/>
      <c r="AC400" s="365"/>
      <c r="AD400" s="383"/>
      <c r="AE400" s="365"/>
      <c r="AF400" s="383"/>
      <c r="AG400" s="365"/>
      <c r="AH400" s="383"/>
      <c r="AI400" s="365"/>
      <c r="AJ400" s="383"/>
      <c r="AK400" s="365"/>
      <c r="AL400" s="383"/>
      <c r="AM400" s="353"/>
    </row>
    <row r="401" spans="1:39" s="352" customFormat="1">
      <c r="A401" s="364"/>
      <c r="B401" s="364"/>
      <c r="C401" s="365"/>
      <c r="D401" s="365"/>
      <c r="E401" s="365"/>
      <c r="F401" s="365"/>
      <c r="G401" s="365"/>
      <c r="H401" s="383"/>
      <c r="I401" s="365"/>
      <c r="J401" s="383"/>
      <c r="K401" s="365"/>
      <c r="L401" s="365"/>
      <c r="M401" s="365"/>
      <c r="N401" s="383"/>
      <c r="O401" s="365"/>
      <c r="P401" s="365"/>
      <c r="Q401" s="365"/>
      <c r="R401" s="383"/>
      <c r="S401" s="365"/>
      <c r="T401" s="383"/>
      <c r="U401" s="365"/>
      <c r="V401" s="383"/>
      <c r="W401" s="365"/>
      <c r="X401" s="383"/>
      <c r="Y401" s="365"/>
      <c r="Z401" s="383"/>
      <c r="AA401" s="365"/>
      <c r="AB401" s="365"/>
      <c r="AC401" s="365"/>
      <c r="AD401" s="383"/>
      <c r="AE401" s="365"/>
      <c r="AF401" s="383"/>
      <c r="AG401" s="365"/>
      <c r="AH401" s="383"/>
      <c r="AI401" s="365"/>
      <c r="AJ401" s="383"/>
      <c r="AK401" s="365"/>
      <c r="AL401" s="383"/>
      <c r="AM401" s="353"/>
    </row>
    <row r="402" spans="1:39" s="352" customFormat="1">
      <c r="A402" s="364"/>
      <c r="B402" s="364"/>
      <c r="C402" s="365"/>
      <c r="D402" s="365"/>
      <c r="E402" s="365"/>
      <c r="F402" s="365"/>
      <c r="G402" s="365"/>
      <c r="H402" s="383"/>
      <c r="I402" s="365"/>
      <c r="J402" s="383"/>
      <c r="K402" s="365"/>
      <c r="L402" s="365"/>
      <c r="M402" s="365"/>
      <c r="N402" s="383"/>
      <c r="O402" s="365"/>
      <c r="P402" s="365"/>
      <c r="Q402" s="365"/>
      <c r="R402" s="383"/>
      <c r="S402" s="365"/>
      <c r="T402" s="383"/>
      <c r="U402" s="365"/>
      <c r="V402" s="383"/>
      <c r="W402" s="365"/>
      <c r="X402" s="383"/>
      <c r="Y402" s="365"/>
      <c r="Z402" s="383"/>
      <c r="AA402" s="365"/>
      <c r="AB402" s="365"/>
      <c r="AC402" s="365"/>
      <c r="AD402" s="383"/>
      <c r="AE402" s="365"/>
      <c r="AF402" s="383"/>
      <c r="AG402" s="365"/>
      <c r="AH402" s="383"/>
      <c r="AI402" s="365"/>
      <c r="AJ402" s="383"/>
      <c r="AK402" s="365"/>
      <c r="AL402" s="383"/>
      <c r="AM402" s="353"/>
    </row>
    <row r="403" spans="1:39" s="352" customFormat="1">
      <c r="A403" s="364"/>
      <c r="B403" s="364"/>
      <c r="C403" s="365"/>
      <c r="D403" s="365"/>
      <c r="E403" s="365"/>
      <c r="F403" s="365"/>
      <c r="G403" s="365"/>
      <c r="H403" s="383"/>
      <c r="I403" s="365"/>
      <c r="J403" s="383"/>
      <c r="K403" s="365"/>
      <c r="L403" s="365"/>
      <c r="M403" s="365"/>
      <c r="N403" s="383"/>
      <c r="O403" s="365"/>
      <c r="P403" s="365"/>
      <c r="Q403" s="365"/>
      <c r="R403" s="383"/>
      <c r="S403" s="365"/>
      <c r="T403" s="383"/>
      <c r="U403" s="365"/>
      <c r="V403" s="383"/>
      <c r="W403" s="365"/>
      <c r="X403" s="383"/>
      <c r="Y403" s="365"/>
      <c r="Z403" s="383"/>
      <c r="AA403" s="365"/>
      <c r="AB403" s="365"/>
      <c r="AC403" s="365"/>
      <c r="AD403" s="383"/>
      <c r="AE403" s="365"/>
      <c r="AF403" s="383"/>
      <c r="AG403" s="365"/>
      <c r="AH403" s="383"/>
      <c r="AI403" s="365"/>
      <c r="AJ403" s="383"/>
      <c r="AK403" s="365"/>
      <c r="AL403" s="383"/>
      <c r="AM403" s="353"/>
    </row>
    <row r="404" spans="1:39" s="352" customFormat="1">
      <c r="A404" s="364"/>
      <c r="B404" s="364"/>
      <c r="C404" s="365"/>
      <c r="D404" s="365"/>
      <c r="E404" s="365"/>
      <c r="F404" s="365"/>
      <c r="G404" s="365"/>
      <c r="H404" s="383"/>
      <c r="I404" s="365"/>
      <c r="J404" s="383"/>
      <c r="K404" s="365"/>
      <c r="L404" s="365"/>
      <c r="M404" s="365"/>
      <c r="N404" s="383"/>
      <c r="O404" s="365"/>
      <c r="P404" s="365"/>
      <c r="Q404" s="365"/>
      <c r="R404" s="383"/>
      <c r="S404" s="365"/>
      <c r="T404" s="383"/>
      <c r="U404" s="365"/>
      <c r="V404" s="383"/>
      <c r="W404" s="365"/>
      <c r="X404" s="383"/>
      <c r="Y404" s="365"/>
      <c r="Z404" s="383"/>
      <c r="AA404" s="365"/>
      <c r="AB404" s="365"/>
      <c r="AC404" s="365"/>
      <c r="AD404" s="383"/>
      <c r="AE404" s="365"/>
      <c r="AF404" s="383"/>
      <c r="AG404" s="365"/>
      <c r="AH404" s="383"/>
      <c r="AI404" s="365"/>
      <c r="AJ404" s="383"/>
      <c r="AK404" s="365"/>
      <c r="AL404" s="383"/>
      <c r="AM404" s="353"/>
    </row>
    <row r="405" spans="1:39" s="352" customFormat="1">
      <c r="A405" s="364"/>
      <c r="B405" s="364"/>
      <c r="C405" s="365"/>
      <c r="D405" s="365"/>
      <c r="E405" s="365"/>
      <c r="F405" s="365"/>
      <c r="G405" s="365"/>
      <c r="H405" s="383"/>
      <c r="I405" s="365"/>
      <c r="J405" s="383"/>
      <c r="K405" s="365"/>
      <c r="L405" s="365"/>
      <c r="M405" s="365"/>
      <c r="N405" s="383"/>
      <c r="O405" s="365"/>
      <c r="P405" s="365"/>
      <c r="Q405" s="365"/>
      <c r="R405" s="383"/>
      <c r="S405" s="365"/>
      <c r="T405" s="383"/>
      <c r="U405" s="365"/>
      <c r="V405" s="383"/>
      <c r="W405" s="365"/>
      <c r="X405" s="383"/>
      <c r="Y405" s="365"/>
      <c r="Z405" s="383"/>
      <c r="AA405" s="365"/>
      <c r="AB405" s="365"/>
      <c r="AC405" s="365"/>
      <c r="AD405" s="383"/>
      <c r="AE405" s="365"/>
      <c r="AF405" s="383"/>
      <c r="AG405" s="365"/>
      <c r="AH405" s="383"/>
      <c r="AI405" s="365"/>
      <c r="AJ405" s="383"/>
      <c r="AK405" s="365"/>
      <c r="AL405" s="383"/>
      <c r="AM405" s="353"/>
    </row>
    <row r="406" spans="1:39" s="352" customFormat="1">
      <c r="A406" s="364"/>
      <c r="B406" s="364"/>
      <c r="C406" s="365"/>
      <c r="D406" s="365"/>
      <c r="E406" s="365"/>
      <c r="F406" s="365"/>
      <c r="G406" s="365"/>
      <c r="H406" s="383"/>
      <c r="I406" s="365"/>
      <c r="J406" s="383"/>
      <c r="K406" s="365"/>
      <c r="L406" s="365"/>
      <c r="M406" s="365"/>
      <c r="N406" s="383"/>
      <c r="O406" s="365"/>
      <c r="P406" s="365"/>
      <c r="Q406" s="365"/>
      <c r="R406" s="383"/>
      <c r="S406" s="365"/>
      <c r="T406" s="383"/>
      <c r="U406" s="365"/>
      <c r="V406" s="383"/>
      <c r="W406" s="365"/>
      <c r="X406" s="383"/>
      <c r="Y406" s="365"/>
      <c r="Z406" s="383"/>
      <c r="AA406" s="365"/>
      <c r="AB406" s="365"/>
      <c r="AC406" s="365"/>
      <c r="AD406" s="383"/>
      <c r="AE406" s="365"/>
      <c r="AF406" s="383"/>
      <c r="AG406" s="365"/>
      <c r="AH406" s="383"/>
      <c r="AI406" s="365"/>
      <c r="AJ406" s="383"/>
      <c r="AK406" s="365"/>
      <c r="AL406" s="383"/>
      <c r="AM406" s="353"/>
    </row>
    <row r="407" spans="1:39" s="352" customFormat="1">
      <c r="A407" s="364"/>
      <c r="B407" s="364"/>
      <c r="C407" s="365"/>
      <c r="D407" s="365"/>
      <c r="E407" s="365"/>
      <c r="F407" s="365"/>
      <c r="G407" s="365"/>
      <c r="H407" s="383"/>
      <c r="I407" s="365"/>
      <c r="J407" s="383"/>
      <c r="K407" s="365"/>
      <c r="L407" s="365"/>
      <c r="M407" s="365"/>
      <c r="N407" s="383"/>
      <c r="O407" s="365"/>
      <c r="P407" s="365"/>
      <c r="Q407" s="365"/>
      <c r="R407" s="383"/>
      <c r="S407" s="365"/>
      <c r="T407" s="383"/>
      <c r="U407" s="365"/>
      <c r="V407" s="383"/>
      <c r="W407" s="365"/>
      <c r="X407" s="383"/>
      <c r="Y407" s="365"/>
      <c r="Z407" s="383"/>
      <c r="AA407" s="365"/>
      <c r="AB407" s="365"/>
      <c r="AC407" s="365"/>
      <c r="AD407" s="383"/>
      <c r="AE407" s="365"/>
      <c r="AF407" s="383"/>
      <c r="AG407" s="365"/>
      <c r="AH407" s="383"/>
      <c r="AI407" s="365"/>
      <c r="AJ407" s="383"/>
      <c r="AK407" s="365"/>
      <c r="AL407" s="383"/>
      <c r="AM407" s="353"/>
    </row>
    <row r="408" spans="1:39" s="352" customFormat="1">
      <c r="A408" s="364"/>
      <c r="B408" s="364"/>
      <c r="C408" s="365"/>
      <c r="D408" s="365"/>
      <c r="E408" s="365"/>
      <c r="F408" s="365"/>
      <c r="G408" s="365"/>
      <c r="H408" s="383"/>
      <c r="I408" s="365"/>
      <c r="J408" s="383"/>
      <c r="K408" s="365"/>
      <c r="L408" s="365"/>
      <c r="M408" s="365"/>
      <c r="N408" s="383"/>
      <c r="O408" s="365"/>
      <c r="P408" s="365"/>
      <c r="Q408" s="365"/>
      <c r="R408" s="383"/>
      <c r="S408" s="365"/>
      <c r="T408" s="383"/>
      <c r="U408" s="365"/>
      <c r="V408" s="383"/>
      <c r="W408" s="365"/>
      <c r="X408" s="383"/>
      <c r="Y408" s="365"/>
      <c r="Z408" s="383"/>
      <c r="AA408" s="365"/>
      <c r="AB408" s="365"/>
      <c r="AC408" s="365"/>
      <c r="AD408" s="383"/>
      <c r="AE408" s="365"/>
      <c r="AF408" s="383"/>
      <c r="AG408" s="365"/>
      <c r="AH408" s="383"/>
      <c r="AI408" s="365"/>
      <c r="AJ408" s="383"/>
      <c r="AK408" s="365"/>
      <c r="AL408" s="383"/>
      <c r="AM408" s="353"/>
    </row>
    <row r="409" spans="1:39" s="352" customFormat="1">
      <c r="A409" s="364"/>
      <c r="B409" s="364"/>
      <c r="C409" s="365"/>
      <c r="D409" s="365"/>
      <c r="E409" s="365"/>
      <c r="F409" s="365"/>
      <c r="G409" s="365"/>
      <c r="H409" s="383"/>
      <c r="I409" s="365"/>
      <c r="J409" s="383"/>
      <c r="K409" s="365"/>
      <c r="L409" s="365"/>
      <c r="M409" s="365"/>
      <c r="N409" s="383"/>
      <c r="O409" s="365"/>
      <c r="P409" s="365"/>
      <c r="Q409" s="365"/>
      <c r="R409" s="383"/>
      <c r="S409" s="365"/>
      <c r="T409" s="383"/>
      <c r="U409" s="365"/>
      <c r="V409" s="383"/>
      <c r="W409" s="365"/>
      <c r="X409" s="383"/>
      <c r="Y409" s="365"/>
      <c r="Z409" s="383"/>
      <c r="AA409" s="365"/>
      <c r="AB409" s="365"/>
      <c r="AC409" s="365"/>
      <c r="AD409" s="383"/>
      <c r="AE409" s="365"/>
      <c r="AF409" s="383"/>
      <c r="AG409" s="365"/>
      <c r="AH409" s="383"/>
      <c r="AI409" s="365"/>
      <c r="AJ409" s="383"/>
      <c r="AK409" s="365"/>
      <c r="AL409" s="383"/>
      <c r="AM409" s="353"/>
    </row>
    <row r="410" spans="1:39" s="352" customFormat="1">
      <c r="A410" s="364"/>
      <c r="B410" s="364"/>
      <c r="C410" s="365"/>
      <c r="D410" s="365"/>
      <c r="E410" s="365"/>
      <c r="F410" s="365"/>
      <c r="G410" s="365"/>
      <c r="H410" s="383"/>
      <c r="I410" s="365"/>
      <c r="J410" s="383"/>
      <c r="K410" s="365"/>
      <c r="L410" s="365"/>
      <c r="M410" s="365"/>
      <c r="N410" s="383"/>
      <c r="O410" s="365"/>
      <c r="P410" s="365"/>
      <c r="Q410" s="365"/>
      <c r="R410" s="383"/>
      <c r="S410" s="365"/>
      <c r="T410" s="383"/>
      <c r="U410" s="365"/>
      <c r="V410" s="383"/>
      <c r="W410" s="365"/>
      <c r="X410" s="383"/>
      <c r="Y410" s="365"/>
      <c r="Z410" s="383"/>
      <c r="AA410" s="365"/>
      <c r="AB410" s="365"/>
      <c r="AC410" s="365"/>
      <c r="AD410" s="383"/>
      <c r="AE410" s="365"/>
      <c r="AF410" s="383"/>
      <c r="AG410" s="365"/>
      <c r="AH410" s="383"/>
      <c r="AI410" s="365"/>
      <c r="AJ410" s="383"/>
      <c r="AK410" s="365"/>
      <c r="AL410" s="383"/>
      <c r="AM410" s="353"/>
    </row>
    <row r="411" spans="1:39" s="352" customFormat="1">
      <c r="A411" s="364"/>
      <c r="B411" s="364"/>
      <c r="C411" s="365"/>
      <c r="D411" s="365"/>
      <c r="E411" s="365"/>
      <c r="F411" s="365"/>
      <c r="G411" s="365"/>
      <c r="H411" s="383"/>
      <c r="I411" s="365"/>
      <c r="J411" s="383"/>
      <c r="K411" s="365"/>
      <c r="L411" s="365"/>
      <c r="M411" s="365"/>
      <c r="N411" s="383"/>
      <c r="O411" s="365"/>
      <c r="P411" s="365"/>
      <c r="Q411" s="365"/>
      <c r="R411" s="383"/>
      <c r="S411" s="365"/>
      <c r="T411" s="383"/>
      <c r="U411" s="365"/>
      <c r="V411" s="383"/>
      <c r="W411" s="365"/>
      <c r="X411" s="383"/>
      <c r="Y411" s="365"/>
      <c r="Z411" s="383"/>
      <c r="AA411" s="365"/>
      <c r="AB411" s="365"/>
      <c r="AC411" s="365"/>
      <c r="AD411" s="383"/>
      <c r="AE411" s="365"/>
      <c r="AF411" s="383"/>
      <c r="AG411" s="365"/>
      <c r="AH411" s="383"/>
      <c r="AI411" s="365"/>
      <c r="AJ411" s="383"/>
      <c r="AK411" s="365"/>
      <c r="AL411" s="383"/>
      <c r="AM411" s="353"/>
    </row>
    <row r="412" spans="1:39" s="352" customFormat="1">
      <c r="A412" s="364"/>
      <c r="B412" s="364"/>
      <c r="C412" s="365"/>
      <c r="D412" s="365"/>
      <c r="E412" s="365"/>
      <c r="F412" s="365"/>
      <c r="G412" s="365"/>
      <c r="H412" s="383"/>
      <c r="I412" s="365"/>
      <c r="J412" s="383"/>
      <c r="K412" s="365"/>
      <c r="L412" s="365"/>
      <c r="M412" s="365"/>
      <c r="N412" s="383"/>
      <c r="O412" s="365"/>
      <c r="P412" s="365"/>
      <c r="Q412" s="365"/>
      <c r="R412" s="383"/>
      <c r="S412" s="365"/>
      <c r="T412" s="383"/>
      <c r="U412" s="365"/>
      <c r="V412" s="383"/>
      <c r="W412" s="365"/>
      <c r="X412" s="383"/>
      <c r="Y412" s="365"/>
      <c r="Z412" s="383"/>
      <c r="AA412" s="365"/>
      <c r="AB412" s="365"/>
      <c r="AC412" s="365"/>
      <c r="AD412" s="383"/>
      <c r="AE412" s="365"/>
      <c r="AF412" s="383"/>
      <c r="AG412" s="365"/>
      <c r="AH412" s="383"/>
      <c r="AI412" s="365"/>
      <c r="AJ412" s="383"/>
      <c r="AK412" s="365"/>
      <c r="AL412" s="383"/>
      <c r="AM412" s="353"/>
    </row>
    <row r="413" spans="1:39" s="352" customFormat="1">
      <c r="A413" s="364"/>
      <c r="B413" s="364"/>
      <c r="C413" s="365"/>
      <c r="D413" s="365"/>
      <c r="E413" s="365"/>
      <c r="F413" s="365"/>
      <c r="G413" s="365"/>
      <c r="H413" s="383"/>
      <c r="I413" s="365"/>
      <c r="J413" s="383"/>
      <c r="K413" s="365"/>
      <c r="L413" s="365"/>
      <c r="M413" s="365"/>
      <c r="N413" s="383"/>
      <c r="O413" s="365"/>
      <c r="P413" s="365"/>
      <c r="Q413" s="365"/>
      <c r="R413" s="383"/>
      <c r="S413" s="365"/>
      <c r="T413" s="383"/>
      <c r="U413" s="365"/>
      <c r="V413" s="383"/>
      <c r="W413" s="365"/>
      <c r="X413" s="383"/>
      <c r="Y413" s="365"/>
      <c r="Z413" s="383"/>
      <c r="AA413" s="365"/>
      <c r="AB413" s="365"/>
      <c r="AC413" s="365"/>
      <c r="AD413" s="383"/>
      <c r="AE413" s="365"/>
      <c r="AF413" s="383"/>
      <c r="AG413" s="365"/>
      <c r="AH413" s="383"/>
      <c r="AI413" s="365"/>
      <c r="AJ413" s="383"/>
      <c r="AK413" s="365"/>
      <c r="AL413" s="383"/>
      <c r="AM413" s="353"/>
    </row>
    <row r="414" spans="1:39" s="352" customFormat="1">
      <c r="A414" s="364"/>
      <c r="B414" s="364"/>
      <c r="C414" s="365"/>
      <c r="D414" s="365"/>
      <c r="E414" s="365"/>
      <c r="F414" s="365"/>
      <c r="G414" s="365"/>
      <c r="H414" s="383"/>
      <c r="I414" s="365"/>
      <c r="J414" s="383"/>
      <c r="K414" s="365"/>
      <c r="L414" s="365"/>
      <c r="M414" s="365"/>
      <c r="N414" s="383"/>
      <c r="O414" s="365"/>
      <c r="P414" s="365"/>
      <c r="Q414" s="365"/>
      <c r="R414" s="383"/>
      <c r="S414" s="365"/>
      <c r="T414" s="383"/>
      <c r="U414" s="365"/>
      <c r="V414" s="383"/>
      <c r="W414" s="365"/>
      <c r="X414" s="383"/>
      <c r="Y414" s="365"/>
      <c r="Z414" s="383"/>
      <c r="AA414" s="365"/>
      <c r="AB414" s="365"/>
      <c r="AC414" s="365"/>
      <c r="AD414" s="383"/>
      <c r="AE414" s="365"/>
      <c r="AF414" s="383"/>
      <c r="AG414" s="365"/>
      <c r="AH414" s="383"/>
      <c r="AI414" s="365"/>
      <c r="AJ414" s="383"/>
      <c r="AK414" s="365"/>
      <c r="AL414" s="383"/>
      <c r="AM414" s="353"/>
    </row>
    <row r="415" spans="1:39" s="352" customFormat="1">
      <c r="A415" s="364"/>
      <c r="B415" s="364"/>
      <c r="C415" s="365"/>
      <c r="D415" s="365"/>
      <c r="E415" s="365"/>
      <c r="F415" s="365"/>
      <c r="G415" s="365"/>
      <c r="H415" s="383"/>
      <c r="I415" s="365"/>
      <c r="J415" s="383"/>
      <c r="K415" s="365"/>
      <c r="L415" s="365"/>
      <c r="M415" s="365"/>
      <c r="N415" s="383"/>
      <c r="O415" s="365"/>
      <c r="P415" s="365"/>
      <c r="Q415" s="365"/>
      <c r="R415" s="383"/>
      <c r="S415" s="365"/>
      <c r="T415" s="383"/>
      <c r="U415" s="365"/>
      <c r="V415" s="383"/>
      <c r="W415" s="365"/>
      <c r="X415" s="383"/>
      <c r="Y415" s="365"/>
      <c r="Z415" s="383"/>
      <c r="AA415" s="365"/>
      <c r="AB415" s="365"/>
      <c r="AC415" s="365"/>
      <c r="AD415" s="383"/>
      <c r="AE415" s="365"/>
      <c r="AF415" s="383"/>
      <c r="AG415" s="365"/>
      <c r="AH415" s="383"/>
      <c r="AI415" s="365"/>
      <c r="AJ415" s="383"/>
      <c r="AK415" s="365"/>
      <c r="AL415" s="383"/>
      <c r="AM415" s="353"/>
    </row>
    <row r="416" spans="1:39" s="352" customFormat="1">
      <c r="A416" s="364"/>
      <c r="B416" s="364"/>
      <c r="C416" s="365"/>
      <c r="D416" s="365"/>
      <c r="E416" s="365"/>
      <c r="F416" s="365"/>
      <c r="G416" s="365"/>
      <c r="H416" s="383"/>
      <c r="I416" s="365"/>
      <c r="J416" s="383"/>
      <c r="K416" s="365"/>
      <c r="L416" s="365"/>
      <c r="M416" s="365"/>
      <c r="N416" s="383"/>
      <c r="O416" s="365"/>
      <c r="P416" s="365"/>
      <c r="Q416" s="365"/>
      <c r="R416" s="383"/>
      <c r="S416" s="365"/>
      <c r="T416" s="383"/>
      <c r="U416" s="365"/>
      <c r="V416" s="383"/>
      <c r="W416" s="365"/>
      <c r="X416" s="383"/>
      <c r="Y416" s="365"/>
      <c r="Z416" s="383"/>
      <c r="AA416" s="365"/>
      <c r="AB416" s="365"/>
      <c r="AC416" s="365"/>
      <c r="AD416" s="383"/>
      <c r="AE416" s="365"/>
      <c r="AF416" s="383"/>
      <c r="AG416" s="365"/>
      <c r="AH416" s="383"/>
      <c r="AI416" s="365"/>
      <c r="AJ416" s="383"/>
      <c r="AK416" s="365"/>
      <c r="AL416" s="383"/>
      <c r="AM416" s="353"/>
    </row>
    <row r="417" spans="1:39" s="352" customFormat="1">
      <c r="A417" s="364"/>
      <c r="B417" s="364"/>
      <c r="C417" s="365"/>
      <c r="D417" s="365"/>
      <c r="E417" s="365"/>
      <c r="F417" s="365"/>
      <c r="G417" s="365"/>
      <c r="H417" s="383"/>
      <c r="I417" s="365"/>
      <c r="J417" s="383"/>
      <c r="K417" s="365"/>
      <c r="L417" s="365"/>
      <c r="M417" s="365"/>
      <c r="N417" s="383"/>
      <c r="O417" s="365"/>
      <c r="P417" s="365"/>
      <c r="Q417" s="365"/>
      <c r="R417" s="383"/>
      <c r="S417" s="365"/>
      <c r="T417" s="383"/>
      <c r="U417" s="365"/>
      <c r="V417" s="383"/>
      <c r="W417" s="365"/>
      <c r="X417" s="383"/>
      <c r="Y417" s="365"/>
      <c r="Z417" s="383"/>
      <c r="AA417" s="365"/>
      <c r="AB417" s="365"/>
      <c r="AC417" s="365"/>
      <c r="AD417" s="383"/>
      <c r="AE417" s="365"/>
      <c r="AF417" s="383"/>
      <c r="AG417" s="365"/>
      <c r="AH417" s="383"/>
      <c r="AI417" s="365"/>
      <c r="AJ417" s="383"/>
      <c r="AK417" s="365"/>
      <c r="AL417" s="383"/>
      <c r="AM417" s="353"/>
    </row>
    <row r="418" spans="1:39" s="352" customFormat="1">
      <c r="A418" s="364"/>
      <c r="B418" s="364"/>
      <c r="C418" s="365"/>
      <c r="D418" s="365"/>
      <c r="E418" s="365"/>
      <c r="F418" s="365"/>
      <c r="G418" s="365"/>
      <c r="H418" s="383"/>
      <c r="I418" s="365"/>
      <c r="J418" s="383"/>
      <c r="K418" s="365"/>
      <c r="L418" s="365"/>
      <c r="M418" s="365"/>
      <c r="N418" s="383"/>
      <c r="O418" s="365"/>
      <c r="P418" s="365"/>
      <c r="Q418" s="365"/>
      <c r="R418" s="383"/>
      <c r="S418" s="365"/>
      <c r="T418" s="383"/>
      <c r="U418" s="365"/>
      <c r="V418" s="383"/>
      <c r="W418" s="365"/>
      <c r="X418" s="383"/>
      <c r="Y418" s="365"/>
      <c r="Z418" s="383"/>
      <c r="AA418" s="365"/>
      <c r="AB418" s="365"/>
      <c r="AC418" s="365"/>
      <c r="AD418" s="383"/>
      <c r="AE418" s="365"/>
      <c r="AF418" s="383"/>
      <c r="AG418" s="365"/>
      <c r="AH418" s="383"/>
      <c r="AI418" s="365"/>
      <c r="AJ418" s="383"/>
      <c r="AK418" s="365"/>
      <c r="AL418" s="383"/>
      <c r="AM418" s="353"/>
    </row>
    <row r="419" spans="1:39" s="352" customFormat="1">
      <c r="A419" s="364"/>
      <c r="B419" s="364"/>
      <c r="C419" s="365"/>
      <c r="D419" s="365"/>
      <c r="E419" s="365"/>
      <c r="F419" s="365"/>
      <c r="G419" s="365"/>
      <c r="H419" s="383"/>
      <c r="I419" s="365"/>
      <c r="J419" s="383"/>
      <c r="K419" s="365"/>
      <c r="L419" s="365"/>
      <c r="M419" s="365"/>
      <c r="N419" s="383"/>
      <c r="O419" s="365"/>
      <c r="P419" s="365"/>
      <c r="Q419" s="365"/>
      <c r="R419" s="383"/>
      <c r="S419" s="365"/>
      <c r="T419" s="383"/>
      <c r="U419" s="365"/>
      <c r="V419" s="383"/>
      <c r="W419" s="365"/>
      <c r="X419" s="383"/>
      <c r="Y419" s="365"/>
      <c r="Z419" s="383"/>
      <c r="AA419" s="365"/>
      <c r="AB419" s="365"/>
      <c r="AC419" s="365"/>
      <c r="AD419" s="383"/>
      <c r="AE419" s="365"/>
      <c r="AF419" s="383"/>
      <c r="AG419" s="365"/>
      <c r="AH419" s="383"/>
      <c r="AI419" s="365"/>
      <c r="AJ419" s="383"/>
      <c r="AK419" s="365"/>
      <c r="AL419" s="383"/>
      <c r="AM419" s="353"/>
    </row>
    <row r="420" spans="1:39" s="352" customFormat="1">
      <c r="A420" s="364"/>
      <c r="B420" s="364"/>
      <c r="C420" s="365"/>
      <c r="D420" s="365"/>
      <c r="E420" s="365"/>
      <c r="F420" s="365"/>
      <c r="G420" s="365"/>
      <c r="H420" s="383"/>
      <c r="I420" s="365"/>
      <c r="J420" s="383"/>
      <c r="K420" s="365"/>
      <c r="L420" s="365"/>
      <c r="M420" s="365"/>
      <c r="N420" s="383"/>
      <c r="O420" s="365"/>
      <c r="P420" s="365"/>
      <c r="Q420" s="365"/>
      <c r="R420" s="383"/>
      <c r="S420" s="365"/>
      <c r="T420" s="383"/>
      <c r="U420" s="365"/>
      <c r="V420" s="383"/>
      <c r="W420" s="365"/>
      <c r="X420" s="383"/>
      <c r="Y420" s="365"/>
      <c r="Z420" s="383"/>
      <c r="AA420" s="365"/>
      <c r="AB420" s="365"/>
      <c r="AC420" s="365"/>
      <c r="AD420" s="383"/>
      <c r="AE420" s="365"/>
      <c r="AF420" s="383"/>
      <c r="AG420" s="365"/>
      <c r="AH420" s="383"/>
      <c r="AI420" s="365"/>
      <c r="AJ420" s="383"/>
      <c r="AK420" s="365"/>
      <c r="AL420" s="383"/>
      <c r="AM420" s="353"/>
    </row>
    <row r="421" spans="1:39" s="352" customFormat="1">
      <c r="A421" s="364"/>
      <c r="B421" s="364"/>
      <c r="C421" s="365"/>
      <c r="D421" s="365"/>
      <c r="E421" s="365"/>
      <c r="F421" s="365"/>
      <c r="G421" s="365"/>
      <c r="H421" s="383"/>
      <c r="I421" s="365"/>
      <c r="J421" s="383"/>
      <c r="K421" s="365"/>
      <c r="L421" s="365"/>
      <c r="M421" s="365"/>
      <c r="N421" s="383"/>
      <c r="O421" s="365"/>
      <c r="P421" s="365"/>
      <c r="Q421" s="365"/>
      <c r="R421" s="383"/>
      <c r="S421" s="365"/>
      <c r="T421" s="383"/>
      <c r="U421" s="365"/>
      <c r="V421" s="383"/>
      <c r="W421" s="365"/>
      <c r="X421" s="383"/>
      <c r="Y421" s="365"/>
      <c r="Z421" s="383"/>
      <c r="AA421" s="365"/>
      <c r="AB421" s="365"/>
      <c r="AC421" s="365"/>
      <c r="AD421" s="383"/>
      <c r="AE421" s="365"/>
      <c r="AF421" s="383"/>
      <c r="AG421" s="365"/>
      <c r="AH421" s="383"/>
      <c r="AI421" s="365"/>
      <c r="AJ421" s="383"/>
      <c r="AK421" s="365"/>
      <c r="AL421" s="383"/>
      <c r="AM421" s="353"/>
    </row>
    <row r="422" spans="1:39" s="352" customFormat="1">
      <c r="A422" s="364"/>
      <c r="B422" s="364"/>
      <c r="C422" s="365"/>
      <c r="D422" s="365"/>
      <c r="E422" s="365"/>
      <c r="F422" s="365"/>
      <c r="G422" s="365"/>
      <c r="H422" s="383"/>
      <c r="I422" s="365"/>
      <c r="J422" s="383"/>
      <c r="K422" s="365"/>
      <c r="L422" s="365"/>
      <c r="M422" s="365"/>
      <c r="N422" s="383"/>
      <c r="O422" s="365"/>
      <c r="P422" s="365"/>
      <c r="Q422" s="365"/>
      <c r="R422" s="383"/>
      <c r="S422" s="365"/>
      <c r="T422" s="383"/>
      <c r="U422" s="365"/>
      <c r="V422" s="383"/>
      <c r="W422" s="365"/>
      <c r="X422" s="383"/>
      <c r="Y422" s="365"/>
      <c r="Z422" s="383"/>
      <c r="AA422" s="365"/>
      <c r="AB422" s="365"/>
      <c r="AC422" s="365"/>
      <c r="AD422" s="383"/>
      <c r="AE422" s="365"/>
      <c r="AF422" s="383"/>
      <c r="AG422" s="365"/>
      <c r="AH422" s="383"/>
      <c r="AI422" s="365"/>
      <c r="AJ422" s="383"/>
      <c r="AK422" s="365"/>
      <c r="AL422" s="383"/>
      <c r="AM422" s="353"/>
    </row>
    <row r="423" spans="1:39" s="352" customFormat="1">
      <c r="A423" s="364"/>
      <c r="B423" s="364"/>
      <c r="C423" s="365"/>
      <c r="D423" s="365"/>
      <c r="E423" s="365"/>
      <c r="F423" s="365"/>
      <c r="G423" s="365"/>
      <c r="H423" s="383"/>
      <c r="I423" s="365"/>
      <c r="J423" s="383"/>
      <c r="K423" s="365"/>
      <c r="L423" s="365"/>
      <c r="M423" s="365"/>
      <c r="N423" s="383"/>
      <c r="O423" s="365"/>
      <c r="P423" s="365"/>
      <c r="Q423" s="365"/>
      <c r="R423" s="383"/>
      <c r="S423" s="365"/>
      <c r="T423" s="383"/>
      <c r="U423" s="365"/>
      <c r="V423" s="383"/>
      <c r="W423" s="365"/>
      <c r="X423" s="383"/>
      <c r="Y423" s="365"/>
      <c r="Z423" s="383"/>
      <c r="AA423" s="365"/>
      <c r="AB423" s="365"/>
      <c r="AC423" s="365"/>
      <c r="AD423" s="383"/>
      <c r="AE423" s="365"/>
      <c r="AF423" s="383"/>
      <c r="AG423" s="365"/>
      <c r="AH423" s="383"/>
      <c r="AI423" s="365"/>
      <c r="AJ423" s="383"/>
      <c r="AK423" s="365"/>
      <c r="AL423" s="383"/>
      <c r="AM423" s="353"/>
    </row>
    <row r="424" spans="1:39" s="352" customFormat="1">
      <c r="A424" s="364"/>
      <c r="B424" s="364"/>
      <c r="C424" s="365"/>
      <c r="D424" s="365"/>
      <c r="E424" s="365"/>
      <c r="F424" s="365"/>
      <c r="G424" s="365"/>
      <c r="H424" s="383"/>
      <c r="I424" s="365"/>
      <c r="J424" s="383"/>
      <c r="K424" s="365"/>
      <c r="L424" s="365"/>
      <c r="M424" s="365"/>
      <c r="N424" s="383"/>
      <c r="O424" s="365"/>
      <c r="P424" s="365"/>
      <c r="Q424" s="365"/>
      <c r="R424" s="383"/>
      <c r="S424" s="365"/>
      <c r="T424" s="383"/>
      <c r="U424" s="365"/>
      <c r="V424" s="383"/>
      <c r="W424" s="365"/>
      <c r="X424" s="383"/>
      <c r="Y424" s="365"/>
      <c r="Z424" s="383"/>
      <c r="AA424" s="365"/>
      <c r="AB424" s="365"/>
      <c r="AC424" s="365"/>
      <c r="AD424" s="383"/>
      <c r="AE424" s="365"/>
      <c r="AF424" s="383"/>
      <c r="AG424" s="365"/>
      <c r="AH424" s="383"/>
      <c r="AI424" s="365"/>
      <c r="AJ424" s="383"/>
      <c r="AK424" s="365"/>
      <c r="AL424" s="383"/>
      <c r="AM424" s="353"/>
    </row>
    <row r="425" spans="1:39" s="352" customFormat="1">
      <c r="A425" s="364"/>
      <c r="B425" s="364"/>
      <c r="C425" s="365"/>
      <c r="D425" s="365"/>
      <c r="E425" s="365"/>
      <c r="F425" s="365"/>
      <c r="G425" s="365"/>
      <c r="H425" s="383"/>
      <c r="I425" s="365"/>
      <c r="J425" s="383"/>
      <c r="K425" s="365"/>
      <c r="L425" s="365"/>
      <c r="M425" s="365"/>
      <c r="N425" s="383"/>
      <c r="O425" s="365"/>
      <c r="P425" s="365"/>
      <c r="Q425" s="365"/>
      <c r="R425" s="383"/>
      <c r="S425" s="365"/>
      <c r="T425" s="383"/>
      <c r="U425" s="365"/>
      <c r="V425" s="383"/>
      <c r="W425" s="365"/>
      <c r="X425" s="383"/>
      <c r="Y425" s="365"/>
      <c r="Z425" s="383"/>
      <c r="AA425" s="365"/>
      <c r="AB425" s="365"/>
      <c r="AC425" s="365"/>
      <c r="AD425" s="383"/>
      <c r="AE425" s="365"/>
      <c r="AF425" s="383"/>
      <c r="AG425" s="365"/>
      <c r="AH425" s="383"/>
      <c r="AI425" s="365"/>
      <c r="AJ425" s="383"/>
      <c r="AK425" s="365"/>
      <c r="AL425" s="383"/>
      <c r="AM425" s="353"/>
    </row>
    <row r="426" spans="1:39" s="352" customFormat="1">
      <c r="A426" s="364"/>
      <c r="B426" s="364"/>
      <c r="C426" s="365"/>
      <c r="D426" s="365"/>
      <c r="E426" s="365"/>
      <c r="F426" s="365"/>
      <c r="G426" s="365"/>
      <c r="H426" s="383"/>
      <c r="I426" s="365"/>
      <c r="J426" s="383"/>
      <c r="K426" s="365"/>
      <c r="L426" s="365"/>
      <c r="M426" s="365"/>
      <c r="N426" s="383"/>
      <c r="O426" s="365"/>
      <c r="P426" s="365"/>
      <c r="Q426" s="365"/>
      <c r="R426" s="383"/>
      <c r="S426" s="365"/>
      <c r="T426" s="383"/>
      <c r="U426" s="365"/>
      <c r="V426" s="383"/>
      <c r="W426" s="365"/>
      <c r="X426" s="383"/>
      <c r="Y426" s="365"/>
      <c r="Z426" s="383"/>
      <c r="AA426" s="365"/>
      <c r="AB426" s="365"/>
      <c r="AC426" s="365"/>
      <c r="AD426" s="383"/>
      <c r="AE426" s="365"/>
      <c r="AF426" s="383"/>
      <c r="AG426" s="365"/>
      <c r="AH426" s="383"/>
      <c r="AI426" s="365"/>
      <c r="AJ426" s="383"/>
      <c r="AK426" s="365"/>
      <c r="AL426" s="383"/>
      <c r="AM426" s="353"/>
    </row>
    <row r="427" spans="1:39" s="352" customFormat="1">
      <c r="A427" s="364"/>
      <c r="B427" s="364"/>
      <c r="C427" s="365"/>
      <c r="D427" s="365"/>
      <c r="E427" s="365"/>
      <c r="F427" s="365"/>
      <c r="G427" s="365"/>
      <c r="H427" s="383"/>
      <c r="I427" s="365"/>
      <c r="J427" s="383"/>
      <c r="K427" s="365"/>
      <c r="L427" s="365"/>
      <c r="M427" s="365"/>
      <c r="N427" s="383"/>
      <c r="O427" s="365"/>
      <c r="P427" s="365"/>
      <c r="Q427" s="365"/>
      <c r="R427" s="383"/>
      <c r="S427" s="365"/>
      <c r="T427" s="383"/>
      <c r="U427" s="365"/>
      <c r="V427" s="383"/>
      <c r="W427" s="365"/>
      <c r="X427" s="383"/>
      <c r="Y427" s="365"/>
      <c r="Z427" s="383"/>
      <c r="AA427" s="365"/>
      <c r="AB427" s="365"/>
      <c r="AC427" s="365"/>
      <c r="AD427" s="383"/>
      <c r="AE427" s="365"/>
      <c r="AF427" s="383"/>
      <c r="AG427" s="365"/>
      <c r="AH427" s="383"/>
      <c r="AI427" s="365"/>
      <c r="AJ427" s="383"/>
      <c r="AK427" s="365"/>
      <c r="AL427" s="383"/>
      <c r="AM427" s="353"/>
    </row>
    <row r="428" spans="1:39" s="352" customFormat="1">
      <c r="A428" s="364"/>
      <c r="B428" s="364"/>
      <c r="C428" s="365"/>
      <c r="D428" s="365"/>
      <c r="E428" s="365"/>
      <c r="F428" s="365"/>
      <c r="G428" s="365"/>
      <c r="H428" s="383"/>
      <c r="I428" s="365"/>
      <c r="J428" s="383"/>
      <c r="K428" s="365"/>
      <c r="L428" s="365"/>
      <c r="M428" s="365"/>
      <c r="N428" s="383"/>
      <c r="O428" s="365"/>
      <c r="P428" s="365"/>
      <c r="Q428" s="365"/>
      <c r="R428" s="383"/>
      <c r="S428" s="365"/>
      <c r="T428" s="383"/>
      <c r="U428" s="365"/>
      <c r="V428" s="383"/>
      <c r="W428" s="365"/>
      <c r="X428" s="383"/>
      <c r="Y428" s="365"/>
      <c r="Z428" s="383"/>
      <c r="AA428" s="365"/>
      <c r="AB428" s="365"/>
      <c r="AC428" s="365"/>
      <c r="AD428" s="383"/>
      <c r="AE428" s="365"/>
      <c r="AF428" s="383"/>
      <c r="AG428" s="365"/>
      <c r="AH428" s="383"/>
      <c r="AI428" s="365"/>
      <c r="AJ428" s="383"/>
      <c r="AK428" s="365"/>
      <c r="AL428" s="383"/>
      <c r="AM428" s="353"/>
    </row>
    <row r="429" spans="1:39" s="352" customFormat="1">
      <c r="A429" s="374"/>
      <c r="B429" s="374"/>
      <c r="C429" s="365"/>
      <c r="D429" s="365"/>
      <c r="E429" s="365"/>
      <c r="F429" s="365"/>
      <c r="G429" s="365"/>
      <c r="H429" s="383"/>
      <c r="I429" s="365"/>
      <c r="J429" s="383"/>
      <c r="K429" s="365"/>
      <c r="L429" s="365"/>
      <c r="M429" s="365"/>
      <c r="N429" s="383"/>
      <c r="O429" s="365"/>
      <c r="P429" s="365"/>
      <c r="Q429" s="365"/>
      <c r="R429" s="383"/>
      <c r="S429" s="365"/>
      <c r="T429" s="383"/>
      <c r="U429" s="365"/>
      <c r="V429" s="383"/>
      <c r="W429" s="365"/>
      <c r="X429" s="383"/>
      <c r="Y429" s="365"/>
      <c r="Z429" s="383"/>
      <c r="AA429" s="365"/>
      <c r="AB429" s="365"/>
      <c r="AC429" s="365"/>
      <c r="AD429" s="383"/>
      <c r="AE429" s="365"/>
      <c r="AF429" s="383"/>
      <c r="AG429" s="365"/>
      <c r="AH429" s="383"/>
      <c r="AI429" s="365"/>
      <c r="AJ429" s="383"/>
      <c r="AK429" s="365"/>
      <c r="AL429" s="383"/>
      <c r="AM429" s="353"/>
    </row>
    <row r="430" spans="1:39" s="352" customFormat="1">
      <c r="A430" s="374"/>
      <c r="B430" s="374"/>
      <c r="C430" s="365"/>
      <c r="D430" s="365"/>
      <c r="E430" s="365"/>
      <c r="F430" s="365"/>
      <c r="G430" s="365"/>
      <c r="H430" s="383"/>
      <c r="I430" s="365"/>
      <c r="J430" s="383"/>
      <c r="K430" s="365"/>
      <c r="L430" s="365"/>
      <c r="M430" s="365"/>
      <c r="N430" s="383"/>
      <c r="O430" s="365"/>
      <c r="P430" s="365"/>
      <c r="Q430" s="365"/>
      <c r="R430" s="383"/>
      <c r="S430" s="365"/>
      <c r="T430" s="383"/>
      <c r="U430" s="365"/>
      <c r="V430" s="383"/>
      <c r="W430" s="365"/>
      <c r="X430" s="383"/>
      <c r="Y430" s="365"/>
      <c r="Z430" s="383"/>
      <c r="AA430" s="365"/>
      <c r="AB430" s="365"/>
      <c r="AC430" s="365"/>
      <c r="AD430" s="383"/>
      <c r="AE430" s="365"/>
      <c r="AF430" s="383"/>
      <c r="AG430" s="365"/>
      <c r="AH430" s="383"/>
      <c r="AI430" s="365"/>
      <c r="AJ430" s="383"/>
      <c r="AK430" s="365"/>
      <c r="AL430" s="383"/>
      <c r="AM430" s="353"/>
    </row>
    <row r="431" spans="1:39" s="352" customFormat="1">
      <c r="A431" s="374"/>
      <c r="B431" s="374"/>
      <c r="C431" s="365"/>
      <c r="D431" s="365"/>
      <c r="E431" s="365"/>
      <c r="F431" s="365"/>
      <c r="G431" s="365"/>
      <c r="H431" s="383"/>
      <c r="I431" s="365"/>
      <c r="J431" s="383"/>
      <c r="K431" s="365"/>
      <c r="L431" s="365"/>
      <c r="M431" s="365"/>
      <c r="N431" s="383"/>
      <c r="O431" s="365"/>
      <c r="P431" s="365"/>
      <c r="Q431" s="365"/>
      <c r="R431" s="383"/>
      <c r="S431" s="365"/>
      <c r="T431" s="383"/>
      <c r="U431" s="365"/>
      <c r="V431" s="383"/>
      <c r="W431" s="365"/>
      <c r="X431" s="383"/>
      <c r="Y431" s="365"/>
      <c r="Z431" s="383"/>
      <c r="AA431" s="365"/>
      <c r="AB431" s="365"/>
      <c r="AC431" s="365"/>
      <c r="AD431" s="383"/>
      <c r="AE431" s="365"/>
      <c r="AF431" s="383"/>
      <c r="AG431" s="365"/>
      <c r="AH431" s="383"/>
      <c r="AI431" s="365"/>
      <c r="AJ431" s="383"/>
      <c r="AK431" s="365"/>
      <c r="AL431" s="383"/>
      <c r="AM431" s="353"/>
    </row>
    <row r="432" spans="1:39" s="352" customFormat="1">
      <c r="A432" s="374"/>
      <c r="B432" s="374"/>
      <c r="C432" s="365"/>
      <c r="D432" s="365"/>
      <c r="E432" s="365"/>
      <c r="F432" s="365"/>
      <c r="G432" s="365"/>
      <c r="H432" s="383"/>
      <c r="I432" s="365"/>
      <c r="J432" s="383"/>
      <c r="K432" s="365"/>
      <c r="L432" s="365"/>
      <c r="M432" s="365"/>
      <c r="N432" s="383"/>
      <c r="O432" s="365"/>
      <c r="P432" s="365"/>
      <c r="Q432" s="365"/>
      <c r="R432" s="383"/>
      <c r="S432" s="365"/>
      <c r="T432" s="383"/>
      <c r="U432" s="365"/>
      <c r="V432" s="383"/>
      <c r="W432" s="365"/>
      <c r="X432" s="383"/>
      <c r="Y432" s="365"/>
      <c r="Z432" s="383"/>
      <c r="AA432" s="365"/>
      <c r="AB432" s="365"/>
      <c r="AC432" s="365"/>
      <c r="AD432" s="383"/>
      <c r="AE432" s="365"/>
      <c r="AF432" s="383"/>
      <c r="AG432" s="365"/>
      <c r="AH432" s="383"/>
      <c r="AI432" s="365"/>
      <c r="AJ432" s="383"/>
      <c r="AK432" s="365"/>
      <c r="AL432" s="383"/>
      <c r="AM432" s="353"/>
    </row>
    <row r="433" spans="1:39" s="352" customFormat="1">
      <c r="A433" s="374"/>
      <c r="B433" s="374"/>
      <c r="C433" s="365"/>
      <c r="D433" s="365"/>
      <c r="E433" s="365"/>
      <c r="F433" s="365"/>
      <c r="G433" s="365"/>
      <c r="H433" s="383"/>
      <c r="I433" s="365"/>
      <c r="J433" s="383"/>
      <c r="K433" s="365"/>
      <c r="L433" s="365"/>
      <c r="M433" s="365"/>
      <c r="N433" s="383"/>
      <c r="O433" s="365"/>
      <c r="P433" s="365"/>
      <c r="Q433" s="365"/>
      <c r="R433" s="383"/>
      <c r="S433" s="365"/>
      <c r="T433" s="383"/>
      <c r="U433" s="365"/>
      <c r="V433" s="383"/>
      <c r="W433" s="365"/>
      <c r="X433" s="383"/>
      <c r="Y433" s="365"/>
      <c r="Z433" s="383"/>
      <c r="AA433" s="365"/>
      <c r="AB433" s="365"/>
      <c r="AC433" s="365"/>
      <c r="AD433" s="383"/>
      <c r="AE433" s="365"/>
      <c r="AF433" s="383"/>
      <c r="AG433" s="365"/>
      <c r="AH433" s="383"/>
      <c r="AI433" s="365"/>
      <c r="AJ433" s="383"/>
      <c r="AK433" s="365"/>
      <c r="AL433" s="383"/>
      <c r="AM433" s="353"/>
    </row>
    <row r="434" spans="1:39" s="352" customFormat="1">
      <c r="A434" s="374"/>
      <c r="B434" s="374"/>
      <c r="C434" s="365"/>
      <c r="D434" s="365"/>
      <c r="E434" s="365"/>
      <c r="F434" s="365"/>
      <c r="G434" s="365"/>
      <c r="H434" s="383"/>
      <c r="I434" s="365"/>
      <c r="J434" s="383"/>
      <c r="K434" s="365"/>
      <c r="L434" s="365"/>
      <c r="M434" s="365"/>
      <c r="N434" s="383"/>
      <c r="O434" s="365"/>
      <c r="P434" s="365"/>
      <c r="Q434" s="365"/>
      <c r="R434" s="383"/>
      <c r="S434" s="365"/>
      <c r="T434" s="383"/>
      <c r="U434" s="365"/>
      <c r="V434" s="383"/>
      <c r="W434" s="365"/>
      <c r="X434" s="383"/>
      <c r="Y434" s="365"/>
      <c r="Z434" s="383"/>
      <c r="AA434" s="365"/>
      <c r="AB434" s="365"/>
      <c r="AC434" s="365"/>
      <c r="AD434" s="383"/>
      <c r="AE434" s="365"/>
      <c r="AF434" s="383"/>
      <c r="AG434" s="365"/>
      <c r="AH434" s="383"/>
      <c r="AI434" s="365"/>
      <c r="AJ434" s="383"/>
      <c r="AK434" s="365"/>
      <c r="AL434" s="383"/>
      <c r="AM434" s="353"/>
    </row>
    <row r="435" spans="1:39" s="352" customFormat="1">
      <c r="A435" s="374"/>
      <c r="B435" s="374"/>
      <c r="C435" s="365"/>
      <c r="D435" s="365"/>
      <c r="E435" s="365"/>
      <c r="F435" s="365"/>
      <c r="G435" s="365"/>
      <c r="H435" s="383"/>
      <c r="I435" s="365"/>
      <c r="J435" s="383"/>
      <c r="K435" s="365"/>
      <c r="L435" s="365"/>
      <c r="M435" s="365"/>
      <c r="N435" s="383"/>
      <c r="O435" s="365"/>
      <c r="P435" s="365"/>
      <c r="Q435" s="365"/>
      <c r="R435" s="383"/>
      <c r="S435" s="365"/>
      <c r="T435" s="383"/>
      <c r="U435" s="365"/>
      <c r="V435" s="383"/>
      <c r="W435" s="365"/>
      <c r="X435" s="383"/>
      <c r="Y435" s="365"/>
      <c r="Z435" s="383"/>
      <c r="AA435" s="365"/>
      <c r="AB435" s="365"/>
      <c r="AC435" s="365"/>
      <c r="AD435" s="383"/>
      <c r="AE435" s="365"/>
      <c r="AF435" s="383"/>
      <c r="AG435" s="365"/>
      <c r="AH435" s="383"/>
      <c r="AI435" s="365"/>
      <c r="AJ435" s="383"/>
      <c r="AK435" s="365"/>
      <c r="AL435" s="383"/>
      <c r="AM435" s="353"/>
    </row>
    <row r="436" spans="1:39" s="352" customFormat="1">
      <c r="A436" s="374"/>
      <c r="B436" s="374"/>
      <c r="C436" s="365"/>
      <c r="D436" s="365"/>
      <c r="E436" s="365"/>
      <c r="F436" s="365"/>
      <c r="G436" s="365"/>
      <c r="H436" s="383"/>
      <c r="I436" s="365"/>
      <c r="J436" s="383"/>
      <c r="K436" s="365"/>
      <c r="L436" s="365"/>
      <c r="M436" s="365"/>
      <c r="N436" s="383"/>
      <c r="O436" s="365"/>
      <c r="P436" s="365"/>
      <c r="Q436" s="365"/>
      <c r="R436" s="383"/>
      <c r="S436" s="365"/>
      <c r="T436" s="383"/>
      <c r="U436" s="365"/>
      <c r="V436" s="383"/>
      <c r="W436" s="365"/>
      <c r="X436" s="383"/>
      <c r="Y436" s="365"/>
      <c r="Z436" s="383"/>
      <c r="AA436" s="365"/>
      <c r="AB436" s="365"/>
      <c r="AC436" s="365"/>
      <c r="AD436" s="383"/>
      <c r="AE436" s="365"/>
      <c r="AF436" s="383"/>
      <c r="AG436" s="365"/>
      <c r="AH436" s="383"/>
      <c r="AI436" s="365"/>
      <c r="AJ436" s="383"/>
      <c r="AK436" s="365"/>
      <c r="AL436" s="383"/>
      <c r="AM436" s="353"/>
    </row>
    <row r="437" spans="1:39" s="352" customFormat="1">
      <c r="A437" s="374"/>
      <c r="B437" s="374"/>
      <c r="C437" s="365"/>
      <c r="D437" s="365"/>
      <c r="E437" s="365"/>
      <c r="F437" s="365"/>
      <c r="G437" s="365"/>
      <c r="H437" s="383"/>
      <c r="I437" s="365"/>
      <c r="J437" s="383"/>
      <c r="K437" s="365"/>
      <c r="L437" s="365"/>
      <c r="M437" s="365"/>
      <c r="N437" s="383"/>
      <c r="O437" s="365"/>
      <c r="P437" s="365"/>
      <c r="Q437" s="365"/>
      <c r="R437" s="383"/>
      <c r="S437" s="365"/>
      <c r="T437" s="383"/>
      <c r="U437" s="365"/>
      <c r="V437" s="383"/>
      <c r="W437" s="365"/>
      <c r="X437" s="383"/>
      <c r="Y437" s="365"/>
      <c r="Z437" s="383"/>
      <c r="AA437" s="365"/>
      <c r="AB437" s="365"/>
      <c r="AC437" s="365"/>
      <c r="AD437" s="383"/>
      <c r="AE437" s="365"/>
      <c r="AF437" s="383"/>
      <c r="AG437" s="365"/>
      <c r="AH437" s="383"/>
      <c r="AI437" s="365"/>
      <c r="AJ437" s="383"/>
      <c r="AK437" s="365"/>
      <c r="AL437" s="383"/>
      <c r="AM437" s="353"/>
    </row>
    <row r="438" spans="1:39" s="352" customFormat="1">
      <c r="A438" s="374"/>
      <c r="B438" s="374"/>
      <c r="C438" s="365"/>
      <c r="D438" s="365"/>
      <c r="E438" s="365"/>
      <c r="F438" s="365"/>
      <c r="G438" s="365"/>
      <c r="H438" s="383"/>
      <c r="I438" s="365"/>
      <c r="J438" s="383"/>
      <c r="K438" s="365"/>
      <c r="L438" s="365"/>
      <c r="M438" s="365"/>
      <c r="N438" s="383"/>
      <c r="O438" s="365"/>
      <c r="P438" s="365"/>
      <c r="Q438" s="365"/>
      <c r="R438" s="383"/>
      <c r="S438" s="365"/>
      <c r="T438" s="383"/>
      <c r="U438" s="365"/>
      <c r="V438" s="383"/>
      <c r="W438" s="365"/>
      <c r="X438" s="383"/>
      <c r="Y438" s="365"/>
      <c r="Z438" s="383"/>
      <c r="AA438" s="365"/>
      <c r="AB438" s="365"/>
      <c r="AC438" s="365"/>
      <c r="AD438" s="383"/>
      <c r="AE438" s="365"/>
      <c r="AF438" s="383"/>
      <c r="AG438" s="365"/>
      <c r="AH438" s="383"/>
      <c r="AI438" s="365"/>
      <c r="AJ438" s="383"/>
      <c r="AK438" s="365"/>
      <c r="AL438" s="383"/>
      <c r="AM438" s="353"/>
    </row>
    <row r="439" spans="1:39" s="352" customFormat="1">
      <c r="A439" s="374"/>
      <c r="B439" s="374"/>
      <c r="C439" s="365"/>
      <c r="D439" s="365"/>
      <c r="E439" s="365"/>
      <c r="F439" s="365"/>
      <c r="G439" s="365"/>
      <c r="H439" s="383"/>
      <c r="I439" s="365"/>
      <c r="J439" s="383"/>
      <c r="K439" s="365"/>
      <c r="L439" s="365"/>
      <c r="M439" s="365"/>
      <c r="N439" s="383"/>
      <c r="O439" s="365"/>
      <c r="P439" s="365"/>
      <c r="Q439" s="365"/>
      <c r="R439" s="383"/>
      <c r="S439" s="365"/>
      <c r="T439" s="383"/>
      <c r="U439" s="365"/>
      <c r="V439" s="383"/>
      <c r="W439" s="365"/>
      <c r="X439" s="383"/>
      <c r="Y439" s="365"/>
      <c r="Z439" s="383"/>
      <c r="AA439" s="365"/>
      <c r="AB439" s="365"/>
      <c r="AC439" s="365"/>
      <c r="AD439" s="383"/>
      <c r="AE439" s="365"/>
      <c r="AF439" s="383"/>
      <c r="AG439" s="365"/>
      <c r="AH439" s="383"/>
      <c r="AI439" s="365"/>
      <c r="AJ439" s="383"/>
      <c r="AK439" s="365"/>
      <c r="AL439" s="383"/>
      <c r="AM439" s="353"/>
    </row>
    <row r="440" spans="1:39" s="352" customFormat="1">
      <c r="A440" s="374"/>
      <c r="B440" s="374"/>
      <c r="C440" s="365"/>
      <c r="D440" s="365"/>
      <c r="E440" s="365"/>
      <c r="F440" s="365"/>
      <c r="G440" s="365"/>
      <c r="H440" s="383"/>
      <c r="I440" s="365"/>
      <c r="J440" s="383"/>
      <c r="K440" s="365"/>
      <c r="L440" s="365"/>
      <c r="M440" s="365"/>
      <c r="N440" s="383"/>
      <c r="O440" s="365"/>
      <c r="P440" s="365"/>
      <c r="Q440" s="365"/>
      <c r="R440" s="383"/>
      <c r="S440" s="365"/>
      <c r="T440" s="383"/>
      <c r="U440" s="365"/>
      <c r="V440" s="383"/>
      <c r="W440" s="365"/>
      <c r="X440" s="383"/>
      <c r="Y440" s="365"/>
      <c r="Z440" s="383"/>
      <c r="AA440" s="365"/>
      <c r="AB440" s="365"/>
      <c r="AC440" s="365"/>
      <c r="AD440" s="383"/>
      <c r="AE440" s="365"/>
      <c r="AF440" s="383"/>
      <c r="AG440" s="365"/>
      <c r="AH440" s="383"/>
      <c r="AI440" s="365"/>
      <c r="AJ440" s="383"/>
      <c r="AK440" s="365"/>
      <c r="AL440" s="383"/>
      <c r="AM440" s="353"/>
    </row>
    <row r="441" spans="1:39" s="352" customFormat="1">
      <c r="A441" s="374"/>
      <c r="B441" s="374"/>
      <c r="C441" s="365"/>
      <c r="D441" s="365"/>
      <c r="E441" s="365"/>
      <c r="F441" s="365"/>
      <c r="G441" s="365"/>
      <c r="H441" s="383"/>
      <c r="I441" s="365"/>
      <c r="J441" s="383"/>
      <c r="K441" s="365"/>
      <c r="L441" s="365"/>
      <c r="M441" s="365"/>
      <c r="N441" s="383"/>
      <c r="O441" s="365"/>
      <c r="P441" s="365"/>
      <c r="Q441" s="365"/>
      <c r="R441" s="383"/>
      <c r="S441" s="365"/>
      <c r="T441" s="383"/>
      <c r="U441" s="365"/>
      <c r="V441" s="383"/>
      <c r="W441" s="365"/>
      <c r="X441" s="383"/>
      <c r="Y441" s="365"/>
      <c r="Z441" s="383"/>
      <c r="AA441" s="365"/>
      <c r="AB441" s="365"/>
      <c r="AC441" s="365"/>
      <c r="AD441" s="383"/>
      <c r="AE441" s="365"/>
      <c r="AF441" s="383"/>
      <c r="AG441" s="365"/>
      <c r="AH441" s="383"/>
      <c r="AI441" s="365"/>
      <c r="AJ441" s="383"/>
      <c r="AK441" s="365"/>
      <c r="AL441" s="383"/>
      <c r="AM441" s="353"/>
    </row>
    <row r="442" spans="1:39" s="352" customFormat="1">
      <c r="C442" s="365"/>
      <c r="D442" s="365"/>
      <c r="E442" s="365"/>
      <c r="F442" s="365"/>
      <c r="G442" s="365"/>
      <c r="H442" s="383"/>
      <c r="I442" s="365"/>
      <c r="J442" s="383"/>
      <c r="K442" s="365"/>
      <c r="L442" s="365"/>
      <c r="M442" s="365"/>
      <c r="N442" s="383"/>
      <c r="O442" s="365"/>
      <c r="P442" s="365"/>
      <c r="Q442" s="365"/>
      <c r="R442" s="383"/>
      <c r="S442" s="365"/>
      <c r="T442" s="383"/>
      <c r="U442" s="365"/>
      <c r="V442" s="383"/>
      <c r="W442" s="365"/>
      <c r="X442" s="383"/>
      <c r="Y442" s="365"/>
      <c r="Z442" s="383"/>
      <c r="AA442" s="365"/>
      <c r="AB442" s="365"/>
      <c r="AC442" s="365"/>
      <c r="AD442" s="383"/>
      <c r="AE442" s="365"/>
      <c r="AF442" s="383"/>
      <c r="AG442" s="365"/>
      <c r="AH442" s="383"/>
      <c r="AI442" s="365"/>
      <c r="AJ442" s="383"/>
      <c r="AK442" s="365"/>
      <c r="AL442" s="383"/>
      <c r="AM442" s="353"/>
    </row>
    <row r="443" spans="1:39" s="352" customFormat="1">
      <c r="C443" s="365"/>
      <c r="D443" s="365"/>
      <c r="E443" s="365"/>
      <c r="F443" s="365"/>
      <c r="G443" s="365"/>
      <c r="H443" s="383"/>
      <c r="I443" s="365"/>
      <c r="J443" s="383"/>
      <c r="K443" s="365"/>
      <c r="L443" s="365"/>
      <c r="M443" s="365"/>
      <c r="N443" s="383"/>
      <c r="O443" s="365"/>
      <c r="P443" s="365"/>
      <c r="Q443" s="365"/>
      <c r="R443" s="383"/>
      <c r="S443" s="365"/>
      <c r="T443" s="383"/>
      <c r="U443" s="365"/>
      <c r="V443" s="383"/>
      <c r="W443" s="365"/>
      <c r="X443" s="383"/>
      <c r="Y443" s="365"/>
      <c r="Z443" s="383"/>
      <c r="AA443" s="365"/>
      <c r="AB443" s="365"/>
      <c r="AC443" s="365"/>
      <c r="AD443" s="383"/>
      <c r="AE443" s="365"/>
      <c r="AF443" s="383"/>
      <c r="AG443" s="365"/>
      <c r="AH443" s="383"/>
      <c r="AI443" s="365"/>
      <c r="AJ443" s="383"/>
      <c r="AK443" s="365"/>
      <c r="AL443" s="383"/>
      <c r="AM443" s="353"/>
    </row>
    <row r="444" spans="1:39" s="352" customFormat="1">
      <c r="C444" s="365"/>
      <c r="D444" s="365"/>
      <c r="E444" s="365"/>
      <c r="F444" s="365"/>
      <c r="G444" s="365"/>
      <c r="H444" s="383"/>
      <c r="I444" s="365"/>
      <c r="J444" s="383"/>
      <c r="K444" s="365"/>
      <c r="L444" s="365"/>
      <c r="M444" s="365"/>
      <c r="N444" s="383"/>
      <c r="O444" s="365"/>
      <c r="P444" s="365"/>
      <c r="Q444" s="365"/>
      <c r="R444" s="383"/>
      <c r="S444" s="365"/>
      <c r="T444" s="383"/>
      <c r="U444" s="365"/>
      <c r="V444" s="383"/>
      <c r="W444" s="365"/>
      <c r="X444" s="383"/>
      <c r="Y444" s="365"/>
      <c r="Z444" s="383"/>
      <c r="AA444" s="365"/>
      <c r="AB444" s="365"/>
      <c r="AC444" s="365"/>
      <c r="AD444" s="383"/>
      <c r="AE444" s="365"/>
      <c r="AF444" s="383"/>
      <c r="AG444" s="365"/>
      <c r="AH444" s="383"/>
      <c r="AI444" s="365"/>
      <c r="AJ444" s="383"/>
      <c r="AK444" s="365"/>
      <c r="AL444" s="383"/>
      <c r="AM444" s="353"/>
    </row>
    <row r="445" spans="1:39" s="352" customFormat="1">
      <c r="C445" s="365"/>
      <c r="D445" s="365"/>
      <c r="E445" s="365"/>
      <c r="F445" s="365"/>
      <c r="G445" s="365"/>
      <c r="H445" s="383"/>
      <c r="I445" s="365"/>
      <c r="J445" s="383"/>
      <c r="K445" s="365"/>
      <c r="L445" s="365"/>
      <c r="M445" s="365"/>
      <c r="N445" s="383"/>
      <c r="O445" s="365"/>
      <c r="P445" s="365"/>
      <c r="Q445" s="365"/>
      <c r="R445" s="383"/>
      <c r="S445" s="365"/>
      <c r="T445" s="383"/>
      <c r="U445" s="365"/>
      <c r="V445" s="383"/>
      <c r="W445" s="365"/>
      <c r="X445" s="383"/>
      <c r="Y445" s="365"/>
      <c r="Z445" s="383"/>
      <c r="AA445" s="365"/>
      <c r="AB445" s="365"/>
      <c r="AC445" s="365"/>
      <c r="AD445" s="383"/>
      <c r="AE445" s="365"/>
      <c r="AF445" s="383"/>
      <c r="AG445" s="365"/>
      <c r="AH445" s="383"/>
      <c r="AI445" s="365"/>
      <c r="AJ445" s="383"/>
      <c r="AK445" s="365"/>
      <c r="AL445" s="383"/>
      <c r="AM445" s="353"/>
    </row>
    <row r="446" spans="1:39" s="352" customFormat="1">
      <c r="C446" s="365"/>
      <c r="D446" s="365"/>
      <c r="E446" s="365"/>
      <c r="F446" s="365"/>
      <c r="G446" s="365"/>
      <c r="H446" s="383"/>
      <c r="I446" s="365"/>
      <c r="J446" s="383"/>
      <c r="K446" s="365"/>
      <c r="L446" s="365"/>
      <c r="M446" s="365"/>
      <c r="N446" s="383"/>
      <c r="O446" s="365"/>
      <c r="P446" s="365"/>
      <c r="Q446" s="365"/>
      <c r="R446" s="383"/>
      <c r="S446" s="365"/>
      <c r="T446" s="383"/>
      <c r="U446" s="365"/>
      <c r="V446" s="383"/>
      <c r="W446" s="365"/>
      <c r="X446" s="383"/>
      <c r="Y446" s="365"/>
      <c r="Z446" s="383"/>
      <c r="AA446" s="365"/>
      <c r="AB446" s="365"/>
      <c r="AC446" s="365"/>
      <c r="AD446" s="383"/>
      <c r="AE446" s="365"/>
      <c r="AF446" s="383"/>
      <c r="AG446" s="365"/>
      <c r="AH446" s="383"/>
      <c r="AI446" s="365"/>
      <c r="AJ446" s="383"/>
      <c r="AK446" s="365"/>
      <c r="AL446" s="383"/>
      <c r="AM446" s="353"/>
    </row>
    <row r="447" spans="1:39" s="352" customFormat="1">
      <c r="C447" s="365"/>
      <c r="D447" s="365"/>
      <c r="E447" s="365"/>
      <c r="F447" s="365"/>
      <c r="G447" s="365"/>
      <c r="H447" s="383"/>
      <c r="I447" s="365"/>
      <c r="J447" s="383"/>
      <c r="K447" s="365"/>
      <c r="L447" s="365"/>
      <c r="M447" s="365"/>
      <c r="N447" s="383"/>
      <c r="O447" s="365"/>
      <c r="P447" s="365"/>
      <c r="Q447" s="365"/>
      <c r="R447" s="383"/>
      <c r="S447" s="365"/>
      <c r="T447" s="383"/>
      <c r="U447" s="365"/>
      <c r="V447" s="383"/>
      <c r="W447" s="365"/>
      <c r="X447" s="383"/>
      <c r="Y447" s="365"/>
      <c r="Z447" s="383"/>
      <c r="AA447" s="365"/>
      <c r="AB447" s="365"/>
      <c r="AC447" s="365"/>
      <c r="AD447" s="383"/>
      <c r="AE447" s="365"/>
      <c r="AF447" s="383"/>
      <c r="AG447" s="365"/>
      <c r="AH447" s="383"/>
      <c r="AI447" s="365"/>
      <c r="AJ447" s="383"/>
      <c r="AK447" s="365"/>
      <c r="AL447" s="383"/>
      <c r="AM447" s="353"/>
    </row>
    <row r="448" spans="1:39" s="352" customFormat="1">
      <c r="C448" s="365"/>
      <c r="D448" s="365"/>
      <c r="E448" s="365"/>
      <c r="F448" s="365"/>
      <c r="G448" s="365"/>
      <c r="H448" s="383"/>
      <c r="I448" s="365"/>
      <c r="J448" s="383"/>
      <c r="K448" s="365"/>
      <c r="L448" s="365"/>
      <c r="M448" s="365"/>
      <c r="N448" s="383"/>
      <c r="O448" s="365"/>
      <c r="P448" s="365"/>
      <c r="Q448" s="365"/>
      <c r="R448" s="383"/>
      <c r="S448" s="365"/>
      <c r="T448" s="383"/>
      <c r="U448" s="365"/>
      <c r="V448" s="383"/>
      <c r="W448" s="365"/>
      <c r="X448" s="383"/>
      <c r="Y448" s="365"/>
      <c r="Z448" s="383"/>
      <c r="AA448" s="365"/>
      <c r="AB448" s="365"/>
      <c r="AC448" s="365"/>
      <c r="AD448" s="383"/>
      <c r="AE448" s="365"/>
      <c r="AF448" s="383"/>
      <c r="AG448" s="365"/>
      <c r="AH448" s="383"/>
      <c r="AI448" s="365"/>
      <c r="AJ448" s="383"/>
      <c r="AK448" s="365"/>
      <c r="AL448" s="383"/>
      <c r="AM448" s="353"/>
    </row>
    <row r="449" spans="3:39" s="352" customFormat="1">
      <c r="C449" s="365"/>
      <c r="D449" s="365"/>
      <c r="E449" s="365"/>
      <c r="F449" s="365"/>
      <c r="G449" s="365"/>
      <c r="H449" s="383"/>
      <c r="I449" s="365"/>
      <c r="J449" s="383"/>
      <c r="K449" s="365"/>
      <c r="L449" s="365"/>
      <c r="M449" s="365"/>
      <c r="N449" s="383"/>
      <c r="O449" s="365"/>
      <c r="P449" s="365"/>
      <c r="Q449" s="365"/>
      <c r="R449" s="383"/>
      <c r="S449" s="365"/>
      <c r="T449" s="383"/>
      <c r="U449" s="365"/>
      <c r="V449" s="383"/>
      <c r="W449" s="365"/>
      <c r="X449" s="383"/>
      <c r="Y449" s="365"/>
      <c r="Z449" s="383"/>
      <c r="AA449" s="365"/>
      <c r="AB449" s="365"/>
      <c r="AC449" s="365"/>
      <c r="AD449" s="383"/>
      <c r="AE449" s="365"/>
      <c r="AF449" s="383"/>
      <c r="AG449" s="365"/>
      <c r="AH449" s="383"/>
      <c r="AI449" s="365"/>
      <c r="AJ449" s="383"/>
      <c r="AK449" s="365"/>
      <c r="AL449" s="383"/>
      <c r="AM449" s="353"/>
    </row>
    <row r="450" spans="3:39" s="352" customFormat="1">
      <c r="C450" s="365"/>
      <c r="D450" s="365"/>
      <c r="E450" s="365"/>
      <c r="F450" s="365"/>
      <c r="G450" s="365"/>
      <c r="H450" s="383"/>
      <c r="I450" s="365"/>
      <c r="J450" s="383"/>
      <c r="K450" s="365"/>
      <c r="L450" s="365"/>
      <c r="M450" s="365"/>
      <c r="N450" s="383"/>
      <c r="O450" s="365"/>
      <c r="P450" s="365"/>
      <c r="Q450" s="365"/>
      <c r="R450" s="383"/>
      <c r="S450" s="365"/>
      <c r="T450" s="383"/>
      <c r="U450" s="365"/>
      <c r="V450" s="383"/>
      <c r="W450" s="365"/>
      <c r="X450" s="383"/>
      <c r="Y450" s="365"/>
      <c r="Z450" s="383"/>
      <c r="AA450" s="365"/>
      <c r="AB450" s="365"/>
      <c r="AC450" s="365"/>
      <c r="AD450" s="383"/>
      <c r="AE450" s="365"/>
      <c r="AF450" s="383"/>
      <c r="AG450" s="365"/>
      <c r="AH450" s="383"/>
      <c r="AI450" s="365"/>
      <c r="AJ450" s="383"/>
      <c r="AK450" s="365"/>
      <c r="AL450" s="383"/>
      <c r="AM450" s="353"/>
    </row>
    <row r="451" spans="3:39" s="352" customFormat="1">
      <c r="C451" s="365"/>
      <c r="D451" s="365"/>
      <c r="E451" s="365"/>
      <c r="F451" s="365"/>
      <c r="G451" s="365"/>
      <c r="H451" s="383"/>
      <c r="I451" s="365"/>
      <c r="J451" s="383"/>
      <c r="K451" s="365"/>
      <c r="L451" s="365"/>
      <c r="M451" s="365"/>
      <c r="N451" s="383"/>
      <c r="O451" s="365"/>
      <c r="P451" s="365"/>
      <c r="Q451" s="365"/>
      <c r="R451" s="383"/>
      <c r="S451" s="365"/>
      <c r="T451" s="383"/>
      <c r="U451" s="365"/>
      <c r="V451" s="383"/>
      <c r="W451" s="365"/>
      <c r="X451" s="383"/>
      <c r="Y451" s="365"/>
      <c r="Z451" s="383"/>
      <c r="AA451" s="365"/>
      <c r="AB451" s="365"/>
      <c r="AC451" s="365"/>
      <c r="AD451" s="383"/>
      <c r="AE451" s="365"/>
      <c r="AF451" s="383"/>
      <c r="AG451" s="365"/>
      <c r="AH451" s="383"/>
      <c r="AI451" s="365"/>
      <c r="AJ451" s="383"/>
      <c r="AK451" s="365"/>
      <c r="AL451" s="383"/>
      <c r="AM451" s="353"/>
    </row>
    <row r="452" spans="3:39" s="352" customFormat="1">
      <c r="C452" s="365"/>
      <c r="D452" s="365"/>
      <c r="E452" s="365"/>
      <c r="F452" s="365"/>
      <c r="G452" s="365"/>
      <c r="H452" s="383"/>
      <c r="I452" s="365"/>
      <c r="J452" s="383"/>
      <c r="K452" s="365"/>
      <c r="L452" s="365"/>
      <c r="M452" s="365"/>
      <c r="N452" s="383"/>
      <c r="O452" s="365"/>
      <c r="P452" s="365"/>
      <c r="Q452" s="365"/>
      <c r="R452" s="383"/>
      <c r="S452" s="365"/>
      <c r="T452" s="383"/>
      <c r="U452" s="365"/>
      <c r="V452" s="383"/>
      <c r="W452" s="365"/>
      <c r="X452" s="383"/>
      <c r="Y452" s="365"/>
      <c r="Z452" s="383"/>
      <c r="AA452" s="365"/>
      <c r="AB452" s="365"/>
      <c r="AC452" s="365"/>
      <c r="AD452" s="383"/>
      <c r="AE452" s="365"/>
      <c r="AF452" s="383"/>
      <c r="AG452" s="365"/>
      <c r="AH452" s="383"/>
      <c r="AI452" s="365"/>
      <c r="AJ452" s="383"/>
      <c r="AK452" s="365"/>
      <c r="AL452" s="383"/>
      <c r="AM452" s="353"/>
    </row>
    <row r="453" spans="3:39" s="352" customFormat="1">
      <c r="C453" s="365"/>
      <c r="D453" s="365"/>
      <c r="E453" s="365"/>
      <c r="F453" s="365"/>
      <c r="G453" s="365"/>
      <c r="H453" s="383"/>
      <c r="I453" s="365"/>
      <c r="J453" s="383"/>
      <c r="K453" s="365"/>
      <c r="L453" s="365"/>
      <c r="M453" s="365"/>
      <c r="N453" s="383"/>
      <c r="O453" s="365"/>
      <c r="P453" s="365"/>
      <c r="Q453" s="365"/>
      <c r="R453" s="383"/>
      <c r="S453" s="365"/>
      <c r="T453" s="383"/>
      <c r="U453" s="365"/>
      <c r="V453" s="383"/>
      <c r="W453" s="365"/>
      <c r="X453" s="383"/>
      <c r="Y453" s="365"/>
      <c r="Z453" s="383"/>
      <c r="AA453" s="365"/>
      <c r="AB453" s="365"/>
      <c r="AC453" s="365"/>
      <c r="AD453" s="383"/>
      <c r="AE453" s="365"/>
      <c r="AF453" s="383"/>
      <c r="AG453" s="365"/>
      <c r="AH453" s="383"/>
      <c r="AI453" s="365"/>
      <c r="AJ453" s="383"/>
      <c r="AK453" s="365"/>
      <c r="AL453" s="383"/>
      <c r="AM453" s="353"/>
    </row>
    <row r="454" spans="3:39" s="352" customFormat="1">
      <c r="C454" s="365"/>
      <c r="D454" s="365"/>
      <c r="E454" s="365"/>
      <c r="F454" s="365"/>
      <c r="G454" s="365"/>
      <c r="H454" s="383"/>
      <c r="I454" s="365"/>
      <c r="J454" s="383"/>
      <c r="K454" s="365"/>
      <c r="L454" s="365"/>
      <c r="M454" s="365"/>
      <c r="N454" s="383"/>
      <c r="O454" s="365"/>
      <c r="P454" s="365"/>
      <c r="Q454" s="365"/>
      <c r="R454" s="383"/>
      <c r="S454" s="365"/>
      <c r="T454" s="383"/>
      <c r="U454" s="365"/>
      <c r="V454" s="383"/>
      <c r="W454" s="365"/>
      <c r="X454" s="383"/>
      <c r="Y454" s="365"/>
      <c r="Z454" s="383"/>
      <c r="AA454" s="365"/>
      <c r="AB454" s="365"/>
      <c r="AC454" s="365"/>
      <c r="AD454" s="383"/>
      <c r="AE454" s="365"/>
      <c r="AF454" s="383"/>
      <c r="AG454" s="365"/>
      <c r="AH454" s="383"/>
      <c r="AI454" s="365"/>
      <c r="AJ454" s="383"/>
      <c r="AK454" s="365"/>
      <c r="AL454" s="383"/>
      <c r="AM454" s="353"/>
    </row>
    <row r="455" spans="3:39" s="352" customFormat="1">
      <c r="C455" s="365"/>
      <c r="D455" s="365"/>
      <c r="E455" s="365"/>
      <c r="F455" s="365"/>
      <c r="G455" s="365"/>
      <c r="H455" s="383"/>
      <c r="I455" s="365"/>
      <c r="J455" s="383"/>
      <c r="K455" s="365"/>
      <c r="L455" s="365"/>
      <c r="M455" s="365"/>
      <c r="N455" s="383"/>
      <c r="O455" s="365"/>
      <c r="P455" s="365"/>
      <c r="Q455" s="365"/>
      <c r="R455" s="383"/>
      <c r="S455" s="365"/>
      <c r="T455" s="383"/>
      <c r="U455" s="365"/>
      <c r="V455" s="383"/>
      <c r="W455" s="365"/>
      <c r="X455" s="383"/>
      <c r="Y455" s="365"/>
      <c r="Z455" s="383"/>
      <c r="AA455" s="365"/>
      <c r="AB455" s="365"/>
      <c r="AC455" s="365"/>
      <c r="AD455" s="383"/>
      <c r="AE455" s="365"/>
      <c r="AF455" s="383"/>
      <c r="AG455" s="365"/>
      <c r="AH455" s="383"/>
      <c r="AI455" s="365"/>
      <c r="AJ455" s="383"/>
      <c r="AK455" s="365"/>
      <c r="AL455" s="383"/>
      <c r="AM455" s="353"/>
    </row>
    <row r="456" spans="3:39" s="352" customFormat="1">
      <c r="C456" s="365"/>
      <c r="D456" s="365"/>
      <c r="E456" s="365"/>
      <c r="F456" s="365"/>
      <c r="G456" s="365"/>
      <c r="H456" s="383"/>
      <c r="I456" s="365"/>
      <c r="J456" s="383"/>
      <c r="K456" s="365"/>
      <c r="L456" s="365"/>
      <c r="M456" s="365"/>
      <c r="N456" s="383"/>
      <c r="O456" s="365"/>
      <c r="P456" s="365"/>
      <c r="Q456" s="365"/>
      <c r="R456" s="383"/>
      <c r="S456" s="365"/>
      <c r="T456" s="383"/>
      <c r="U456" s="365"/>
      <c r="V456" s="383"/>
      <c r="W456" s="365"/>
      <c r="X456" s="383"/>
      <c r="Y456" s="365"/>
      <c r="Z456" s="383"/>
      <c r="AA456" s="365"/>
      <c r="AB456" s="365"/>
      <c r="AC456" s="365"/>
      <c r="AD456" s="383"/>
      <c r="AE456" s="365"/>
      <c r="AF456" s="383"/>
      <c r="AG456" s="365"/>
      <c r="AH456" s="383"/>
      <c r="AI456" s="365"/>
      <c r="AJ456" s="383"/>
      <c r="AK456" s="365"/>
      <c r="AL456" s="383"/>
      <c r="AM456" s="353"/>
    </row>
    <row r="457" spans="3:39" s="352" customFormat="1">
      <c r="C457" s="365"/>
      <c r="D457" s="365"/>
      <c r="E457" s="365"/>
      <c r="F457" s="365"/>
      <c r="G457" s="365"/>
      <c r="H457" s="383"/>
      <c r="I457" s="365"/>
      <c r="J457" s="383"/>
      <c r="K457" s="365"/>
      <c r="L457" s="365"/>
      <c r="M457" s="365"/>
      <c r="N457" s="383"/>
      <c r="O457" s="365"/>
      <c r="P457" s="365"/>
      <c r="Q457" s="365"/>
      <c r="R457" s="383"/>
      <c r="S457" s="365"/>
      <c r="T457" s="383"/>
      <c r="U457" s="365"/>
      <c r="V457" s="383"/>
      <c r="W457" s="365"/>
      <c r="X457" s="383"/>
      <c r="Y457" s="365"/>
      <c r="Z457" s="383"/>
      <c r="AA457" s="365"/>
      <c r="AB457" s="365"/>
      <c r="AC457" s="365"/>
      <c r="AD457" s="383"/>
      <c r="AE457" s="365"/>
      <c r="AF457" s="383"/>
      <c r="AG457" s="365"/>
      <c r="AH457" s="383"/>
      <c r="AI457" s="365"/>
      <c r="AJ457" s="383"/>
      <c r="AK457" s="365"/>
      <c r="AL457" s="383"/>
      <c r="AM457" s="353"/>
    </row>
    <row r="458" spans="3:39" s="352" customFormat="1">
      <c r="C458" s="365"/>
      <c r="D458" s="365"/>
      <c r="E458" s="365"/>
      <c r="F458" s="365"/>
      <c r="G458" s="365"/>
      <c r="H458" s="383"/>
      <c r="I458" s="365"/>
      <c r="J458" s="383"/>
      <c r="K458" s="365"/>
      <c r="L458" s="365"/>
      <c r="M458" s="365"/>
      <c r="N458" s="383"/>
      <c r="O458" s="365"/>
      <c r="P458" s="365"/>
      <c r="Q458" s="365"/>
      <c r="R458" s="383"/>
      <c r="S458" s="365"/>
      <c r="T458" s="383"/>
      <c r="U458" s="365"/>
      <c r="V458" s="383"/>
      <c r="W458" s="365"/>
      <c r="X458" s="383"/>
      <c r="Y458" s="365"/>
      <c r="Z458" s="383"/>
      <c r="AA458" s="365"/>
      <c r="AB458" s="365"/>
      <c r="AC458" s="365"/>
      <c r="AD458" s="383"/>
      <c r="AE458" s="365"/>
      <c r="AF458" s="383"/>
      <c r="AG458" s="365"/>
      <c r="AH458" s="383"/>
      <c r="AI458" s="365"/>
      <c r="AJ458" s="383"/>
      <c r="AK458" s="365"/>
      <c r="AL458" s="383"/>
      <c r="AM458" s="353"/>
    </row>
    <row r="459" spans="3:39" s="352" customFormat="1">
      <c r="C459" s="365"/>
      <c r="D459" s="365"/>
      <c r="E459" s="365"/>
      <c r="F459" s="365"/>
      <c r="G459" s="365"/>
      <c r="H459" s="383"/>
      <c r="I459" s="365"/>
      <c r="J459" s="383"/>
      <c r="K459" s="365"/>
      <c r="L459" s="365"/>
      <c r="M459" s="365"/>
      <c r="N459" s="383"/>
      <c r="O459" s="365"/>
      <c r="P459" s="365"/>
      <c r="Q459" s="365"/>
      <c r="R459" s="383"/>
      <c r="S459" s="365"/>
      <c r="T459" s="383"/>
      <c r="U459" s="365"/>
      <c r="V459" s="383"/>
      <c r="W459" s="365"/>
      <c r="X459" s="383"/>
      <c r="Y459" s="365"/>
      <c r="Z459" s="383"/>
      <c r="AA459" s="365"/>
      <c r="AB459" s="365"/>
      <c r="AC459" s="365"/>
      <c r="AD459" s="383"/>
      <c r="AE459" s="365"/>
      <c r="AF459" s="383"/>
      <c r="AG459" s="365"/>
      <c r="AH459" s="383"/>
      <c r="AI459" s="365"/>
      <c r="AJ459" s="383"/>
      <c r="AK459" s="365"/>
      <c r="AL459" s="383"/>
      <c r="AM459" s="353"/>
    </row>
    <row r="460" spans="3:39" s="352" customFormat="1">
      <c r="C460" s="365"/>
      <c r="D460" s="365"/>
      <c r="E460" s="365"/>
      <c r="F460" s="365"/>
      <c r="G460" s="365"/>
      <c r="H460" s="383"/>
      <c r="I460" s="365"/>
      <c r="J460" s="383"/>
      <c r="K460" s="365"/>
      <c r="L460" s="365"/>
      <c r="M460" s="365"/>
      <c r="N460" s="383"/>
      <c r="O460" s="365"/>
      <c r="P460" s="365"/>
      <c r="Q460" s="365"/>
      <c r="R460" s="383"/>
      <c r="S460" s="365"/>
      <c r="T460" s="383"/>
      <c r="U460" s="365"/>
      <c r="V460" s="383"/>
      <c r="W460" s="365"/>
      <c r="X460" s="383"/>
      <c r="Y460" s="365"/>
      <c r="Z460" s="383"/>
      <c r="AA460" s="365"/>
      <c r="AB460" s="365"/>
      <c r="AC460" s="365"/>
      <c r="AD460" s="383"/>
      <c r="AE460" s="365"/>
      <c r="AF460" s="383"/>
      <c r="AG460" s="365"/>
      <c r="AH460" s="383"/>
      <c r="AI460" s="365"/>
      <c r="AJ460" s="383"/>
      <c r="AK460" s="365"/>
      <c r="AL460" s="383"/>
      <c r="AM460" s="353"/>
    </row>
    <row r="461" spans="3:39" s="352" customFormat="1">
      <c r="C461" s="365"/>
      <c r="D461" s="365"/>
      <c r="E461" s="365"/>
      <c r="F461" s="365"/>
      <c r="G461" s="365"/>
      <c r="H461" s="383"/>
      <c r="I461" s="365"/>
      <c r="J461" s="383"/>
      <c r="K461" s="365"/>
      <c r="L461" s="365"/>
      <c r="M461" s="365"/>
      <c r="N461" s="383"/>
      <c r="O461" s="365"/>
      <c r="P461" s="365"/>
      <c r="Q461" s="365"/>
      <c r="R461" s="383"/>
      <c r="S461" s="365"/>
      <c r="T461" s="383"/>
      <c r="U461" s="365"/>
      <c r="V461" s="383"/>
      <c r="W461" s="365"/>
      <c r="X461" s="383"/>
      <c r="Y461" s="365"/>
      <c r="Z461" s="383"/>
      <c r="AA461" s="365"/>
      <c r="AB461" s="365"/>
      <c r="AC461" s="365"/>
      <c r="AD461" s="383"/>
      <c r="AE461" s="365"/>
      <c r="AF461" s="383"/>
      <c r="AG461" s="365"/>
      <c r="AH461" s="383"/>
      <c r="AI461" s="365"/>
      <c r="AJ461" s="383"/>
      <c r="AK461" s="365"/>
      <c r="AL461" s="383"/>
      <c r="AM461" s="353"/>
    </row>
    <row r="462" spans="3:39" s="352" customFormat="1">
      <c r="C462" s="365"/>
      <c r="D462" s="365"/>
      <c r="E462" s="365"/>
      <c r="F462" s="365"/>
      <c r="G462" s="365"/>
      <c r="H462" s="383"/>
      <c r="I462" s="365"/>
      <c r="J462" s="383"/>
      <c r="K462" s="365"/>
      <c r="L462" s="365"/>
      <c r="M462" s="365"/>
      <c r="N462" s="383"/>
      <c r="O462" s="365"/>
      <c r="P462" s="365"/>
      <c r="Q462" s="365"/>
      <c r="R462" s="383"/>
      <c r="S462" s="365"/>
      <c r="T462" s="383"/>
      <c r="U462" s="365"/>
      <c r="V462" s="383"/>
      <c r="W462" s="365"/>
      <c r="X462" s="383"/>
      <c r="Y462" s="365"/>
      <c r="Z462" s="383"/>
      <c r="AA462" s="365"/>
      <c r="AB462" s="365"/>
      <c r="AC462" s="365"/>
      <c r="AD462" s="383"/>
      <c r="AE462" s="365"/>
      <c r="AF462" s="383"/>
      <c r="AG462" s="365"/>
      <c r="AH462" s="383"/>
      <c r="AI462" s="365"/>
      <c r="AJ462" s="383"/>
      <c r="AK462" s="365"/>
      <c r="AL462" s="383"/>
      <c r="AM462" s="353"/>
    </row>
    <row r="463" spans="3:39" s="352" customFormat="1">
      <c r="C463" s="365"/>
      <c r="D463" s="365"/>
      <c r="E463" s="365"/>
      <c r="F463" s="365"/>
      <c r="G463" s="365"/>
      <c r="H463" s="383"/>
      <c r="I463" s="365"/>
      <c r="J463" s="383"/>
      <c r="K463" s="365"/>
      <c r="L463" s="365"/>
      <c r="M463" s="365"/>
      <c r="N463" s="383"/>
      <c r="O463" s="365"/>
      <c r="P463" s="365"/>
      <c r="Q463" s="365"/>
      <c r="R463" s="383"/>
      <c r="S463" s="365"/>
      <c r="T463" s="383"/>
      <c r="U463" s="365"/>
      <c r="V463" s="383"/>
      <c r="W463" s="365"/>
      <c r="X463" s="383"/>
      <c r="Y463" s="365"/>
      <c r="Z463" s="383"/>
      <c r="AA463" s="365"/>
      <c r="AB463" s="365"/>
      <c r="AC463" s="365"/>
      <c r="AD463" s="383"/>
      <c r="AE463" s="365"/>
      <c r="AF463" s="383"/>
      <c r="AG463" s="365"/>
      <c r="AH463" s="383"/>
      <c r="AI463" s="365"/>
      <c r="AJ463" s="383"/>
      <c r="AK463" s="365"/>
      <c r="AL463" s="383"/>
      <c r="AM463" s="353"/>
    </row>
    <row r="464" spans="3:39" s="352" customFormat="1">
      <c r="C464" s="365"/>
      <c r="D464" s="365"/>
      <c r="E464" s="365"/>
      <c r="F464" s="365"/>
      <c r="G464" s="365"/>
      <c r="H464" s="383"/>
      <c r="I464" s="365"/>
      <c r="J464" s="383"/>
      <c r="K464" s="365"/>
      <c r="L464" s="365"/>
      <c r="M464" s="365"/>
      <c r="N464" s="383"/>
      <c r="O464" s="365"/>
      <c r="P464" s="365"/>
      <c r="Q464" s="365"/>
      <c r="R464" s="383"/>
      <c r="S464" s="365"/>
      <c r="T464" s="383"/>
      <c r="U464" s="365"/>
      <c r="V464" s="383"/>
      <c r="W464" s="365"/>
      <c r="X464" s="383"/>
      <c r="Y464" s="365"/>
      <c r="Z464" s="383"/>
      <c r="AA464" s="365"/>
      <c r="AB464" s="365"/>
      <c r="AC464" s="365"/>
      <c r="AD464" s="383"/>
      <c r="AE464" s="365"/>
      <c r="AF464" s="383"/>
      <c r="AG464" s="365"/>
      <c r="AH464" s="383"/>
      <c r="AI464" s="365"/>
      <c r="AJ464" s="383"/>
      <c r="AK464" s="365"/>
      <c r="AL464" s="383"/>
      <c r="AM464" s="353"/>
    </row>
    <row r="465" spans="3:39" s="352" customFormat="1">
      <c r="C465" s="365"/>
      <c r="D465" s="365"/>
      <c r="E465" s="365"/>
      <c r="F465" s="365"/>
      <c r="G465" s="365"/>
      <c r="H465" s="383"/>
      <c r="I465" s="365"/>
      <c r="J465" s="383"/>
      <c r="K465" s="365"/>
      <c r="L465" s="365"/>
      <c r="M465" s="365"/>
      <c r="N465" s="383"/>
      <c r="O465" s="365"/>
      <c r="P465" s="365"/>
      <c r="Q465" s="365"/>
      <c r="R465" s="383"/>
      <c r="S465" s="365"/>
      <c r="T465" s="383"/>
      <c r="U465" s="365"/>
      <c r="V465" s="383"/>
      <c r="W465" s="365"/>
      <c r="X465" s="383"/>
      <c r="Y465" s="365"/>
      <c r="Z465" s="383"/>
      <c r="AA465" s="365"/>
      <c r="AB465" s="365"/>
      <c r="AC465" s="365"/>
      <c r="AD465" s="383"/>
      <c r="AE465" s="365"/>
      <c r="AF465" s="383"/>
      <c r="AG465" s="365"/>
      <c r="AH465" s="383"/>
      <c r="AI465" s="365"/>
      <c r="AJ465" s="383"/>
      <c r="AK465" s="365"/>
      <c r="AL465" s="383"/>
      <c r="AM465" s="353"/>
    </row>
    <row r="466" spans="3:39" s="352" customFormat="1">
      <c r="C466" s="365"/>
      <c r="D466" s="365"/>
      <c r="E466" s="365"/>
      <c r="F466" s="365"/>
      <c r="G466" s="365"/>
      <c r="H466" s="383"/>
      <c r="I466" s="365"/>
      <c r="J466" s="383"/>
      <c r="K466" s="365"/>
      <c r="L466" s="365"/>
      <c r="M466" s="365"/>
      <c r="N466" s="383"/>
      <c r="O466" s="365"/>
      <c r="P466" s="365"/>
      <c r="Q466" s="365"/>
      <c r="R466" s="383"/>
      <c r="S466" s="365"/>
      <c r="T466" s="383"/>
      <c r="U466" s="365"/>
      <c r="V466" s="383"/>
      <c r="W466" s="365"/>
      <c r="X466" s="383"/>
      <c r="Y466" s="365"/>
      <c r="Z466" s="383"/>
      <c r="AA466" s="365"/>
      <c r="AB466" s="365"/>
      <c r="AC466" s="365"/>
      <c r="AD466" s="383"/>
      <c r="AE466" s="365"/>
      <c r="AF466" s="383"/>
      <c r="AG466" s="365"/>
      <c r="AH466" s="383"/>
      <c r="AI466" s="365"/>
      <c r="AJ466" s="383"/>
      <c r="AK466" s="365"/>
      <c r="AL466" s="383"/>
      <c r="AM466" s="353"/>
    </row>
    <row r="467" spans="3:39" s="352" customFormat="1">
      <c r="C467" s="365"/>
      <c r="D467" s="365"/>
      <c r="E467" s="365"/>
      <c r="F467" s="365"/>
      <c r="G467" s="365"/>
      <c r="H467" s="383"/>
      <c r="I467" s="365"/>
      <c r="J467" s="383"/>
      <c r="K467" s="365"/>
      <c r="L467" s="365"/>
      <c r="M467" s="365"/>
      <c r="N467" s="383"/>
      <c r="O467" s="365"/>
      <c r="P467" s="365"/>
      <c r="Q467" s="365"/>
      <c r="R467" s="383"/>
      <c r="S467" s="365"/>
      <c r="T467" s="383"/>
      <c r="U467" s="365"/>
      <c r="V467" s="383"/>
      <c r="W467" s="365"/>
      <c r="X467" s="383"/>
      <c r="Y467" s="365"/>
      <c r="Z467" s="383"/>
      <c r="AA467" s="365"/>
      <c r="AB467" s="365"/>
      <c r="AC467" s="365"/>
      <c r="AD467" s="383"/>
      <c r="AE467" s="365"/>
      <c r="AF467" s="383"/>
      <c r="AG467" s="365"/>
      <c r="AH467" s="383"/>
      <c r="AI467" s="365"/>
      <c r="AJ467" s="383"/>
      <c r="AK467" s="365"/>
      <c r="AL467" s="383"/>
      <c r="AM467" s="353"/>
    </row>
    <row r="468" spans="3:39" s="352" customFormat="1">
      <c r="C468" s="365"/>
      <c r="D468" s="365"/>
      <c r="E468" s="365"/>
      <c r="F468" s="365"/>
      <c r="G468" s="365"/>
      <c r="H468" s="383"/>
      <c r="I468" s="365"/>
      <c r="J468" s="383"/>
      <c r="K468" s="365"/>
      <c r="L468" s="365"/>
      <c r="M468" s="365"/>
      <c r="N468" s="383"/>
      <c r="O468" s="365"/>
      <c r="P468" s="365"/>
      <c r="Q468" s="365"/>
      <c r="R468" s="383"/>
      <c r="S468" s="365"/>
      <c r="T468" s="383"/>
      <c r="U468" s="365"/>
      <c r="V468" s="383"/>
      <c r="W468" s="365"/>
      <c r="X468" s="383"/>
      <c r="Y468" s="365"/>
      <c r="Z468" s="383"/>
      <c r="AA468" s="365"/>
      <c r="AB468" s="365"/>
      <c r="AC468" s="365"/>
      <c r="AD468" s="383"/>
      <c r="AE468" s="365"/>
      <c r="AF468" s="383"/>
      <c r="AG468" s="365"/>
      <c r="AH468" s="383"/>
      <c r="AI468" s="365"/>
      <c r="AJ468" s="383"/>
      <c r="AK468" s="365"/>
      <c r="AL468" s="383"/>
      <c r="AM468" s="353"/>
    </row>
    <row r="469" spans="3:39" s="352" customFormat="1">
      <c r="C469" s="365"/>
      <c r="D469" s="365"/>
      <c r="E469" s="365"/>
      <c r="F469" s="365"/>
      <c r="G469" s="365"/>
      <c r="H469" s="383"/>
      <c r="I469" s="365"/>
      <c r="J469" s="383"/>
      <c r="K469" s="365"/>
      <c r="L469" s="365"/>
      <c r="M469" s="365"/>
      <c r="N469" s="383"/>
      <c r="O469" s="365"/>
      <c r="P469" s="365"/>
      <c r="Q469" s="365"/>
      <c r="R469" s="383"/>
      <c r="S469" s="365"/>
      <c r="T469" s="383"/>
      <c r="U469" s="365"/>
      <c r="V469" s="383"/>
      <c r="W469" s="365"/>
      <c r="X469" s="383"/>
      <c r="Y469" s="365"/>
      <c r="Z469" s="383"/>
      <c r="AA469" s="365"/>
      <c r="AB469" s="365"/>
      <c r="AC469" s="365"/>
      <c r="AD469" s="383"/>
      <c r="AE469" s="365"/>
      <c r="AF469" s="383"/>
      <c r="AG469" s="365"/>
      <c r="AH469" s="383"/>
      <c r="AI469" s="365"/>
      <c r="AJ469" s="383"/>
      <c r="AK469" s="365"/>
      <c r="AL469" s="383"/>
      <c r="AM469" s="353"/>
    </row>
    <row r="470" spans="3:39" s="352" customFormat="1">
      <c r="C470" s="365"/>
      <c r="D470" s="365"/>
      <c r="E470" s="365"/>
      <c r="F470" s="365"/>
      <c r="G470" s="365"/>
      <c r="H470" s="383"/>
      <c r="I470" s="365"/>
      <c r="J470" s="383"/>
      <c r="K470" s="365"/>
      <c r="L470" s="365"/>
      <c r="M470" s="365"/>
      <c r="N470" s="383"/>
      <c r="O470" s="365"/>
      <c r="P470" s="365"/>
      <c r="Q470" s="365"/>
      <c r="R470" s="383"/>
      <c r="S470" s="365"/>
      <c r="T470" s="383"/>
      <c r="U470" s="365"/>
      <c r="V470" s="383"/>
      <c r="W470" s="365"/>
      <c r="X470" s="383"/>
      <c r="Y470" s="365"/>
      <c r="Z470" s="383"/>
      <c r="AA470" s="365"/>
      <c r="AB470" s="365"/>
      <c r="AC470" s="365"/>
      <c r="AD470" s="383"/>
      <c r="AE470" s="365"/>
      <c r="AF470" s="383"/>
      <c r="AG470" s="365"/>
      <c r="AH470" s="383"/>
      <c r="AI470" s="365"/>
      <c r="AJ470" s="383"/>
      <c r="AK470" s="365"/>
      <c r="AL470" s="383"/>
      <c r="AM470" s="353"/>
    </row>
    <row r="471" spans="3:39" s="352" customFormat="1">
      <c r="C471" s="365"/>
      <c r="D471" s="365"/>
      <c r="E471" s="365"/>
      <c r="F471" s="365"/>
      <c r="G471" s="365"/>
      <c r="H471" s="383"/>
      <c r="I471" s="365"/>
      <c r="J471" s="383"/>
      <c r="K471" s="365"/>
      <c r="L471" s="365"/>
      <c r="M471" s="365"/>
      <c r="N471" s="383"/>
      <c r="O471" s="365"/>
      <c r="P471" s="365"/>
      <c r="Q471" s="365"/>
      <c r="R471" s="383"/>
      <c r="S471" s="365"/>
      <c r="T471" s="383"/>
      <c r="U471" s="365"/>
      <c r="V471" s="383"/>
      <c r="W471" s="365"/>
      <c r="X471" s="383"/>
      <c r="Y471" s="365"/>
      <c r="Z471" s="383"/>
      <c r="AA471" s="365"/>
      <c r="AB471" s="365"/>
      <c r="AC471" s="365"/>
      <c r="AD471" s="383"/>
      <c r="AE471" s="365"/>
      <c r="AF471" s="383"/>
      <c r="AG471" s="365"/>
      <c r="AH471" s="383"/>
      <c r="AI471" s="365"/>
      <c r="AJ471" s="383"/>
      <c r="AK471" s="365"/>
      <c r="AL471" s="383"/>
      <c r="AM471" s="353"/>
    </row>
    <row r="472" spans="3:39" s="352" customFormat="1">
      <c r="C472" s="365"/>
      <c r="D472" s="365"/>
      <c r="E472" s="365"/>
      <c r="F472" s="365"/>
      <c r="G472" s="365"/>
      <c r="H472" s="383"/>
      <c r="I472" s="365"/>
      <c r="J472" s="383"/>
      <c r="K472" s="365"/>
      <c r="L472" s="365"/>
      <c r="M472" s="365"/>
      <c r="N472" s="383"/>
      <c r="O472" s="365"/>
      <c r="P472" s="365"/>
      <c r="Q472" s="365"/>
      <c r="R472" s="383"/>
      <c r="S472" s="365"/>
      <c r="T472" s="383"/>
      <c r="U472" s="365"/>
      <c r="V472" s="383"/>
      <c r="W472" s="365"/>
      <c r="X472" s="383"/>
      <c r="Y472" s="365"/>
      <c r="Z472" s="383"/>
      <c r="AA472" s="365"/>
      <c r="AB472" s="365"/>
      <c r="AC472" s="365"/>
      <c r="AD472" s="383"/>
      <c r="AE472" s="365"/>
      <c r="AF472" s="383"/>
      <c r="AG472" s="365"/>
      <c r="AH472" s="383"/>
      <c r="AI472" s="365"/>
      <c r="AJ472" s="383"/>
      <c r="AK472" s="365"/>
      <c r="AL472" s="383"/>
      <c r="AM472" s="353"/>
    </row>
    <row r="473" spans="3:39" s="352" customFormat="1">
      <c r="C473" s="365"/>
      <c r="D473" s="365"/>
      <c r="E473" s="365"/>
      <c r="F473" s="365"/>
      <c r="G473" s="365"/>
      <c r="H473" s="383"/>
      <c r="I473" s="365"/>
      <c r="J473" s="383"/>
      <c r="K473" s="365"/>
      <c r="L473" s="365"/>
      <c r="M473" s="365"/>
      <c r="N473" s="383"/>
      <c r="O473" s="365"/>
      <c r="P473" s="365"/>
      <c r="Q473" s="365"/>
      <c r="R473" s="383"/>
      <c r="S473" s="365"/>
      <c r="T473" s="383"/>
      <c r="U473" s="365"/>
      <c r="V473" s="383"/>
      <c r="W473" s="365"/>
      <c r="X473" s="383"/>
      <c r="Y473" s="365"/>
      <c r="Z473" s="383"/>
      <c r="AA473" s="365"/>
      <c r="AB473" s="365"/>
      <c r="AC473" s="365"/>
      <c r="AD473" s="383"/>
      <c r="AE473" s="365"/>
      <c r="AF473" s="383"/>
      <c r="AG473" s="365"/>
      <c r="AH473" s="383"/>
      <c r="AI473" s="365"/>
      <c r="AJ473" s="383"/>
      <c r="AK473" s="365"/>
      <c r="AL473" s="383"/>
      <c r="AM473" s="353"/>
    </row>
    <row r="474" spans="3:39" s="352" customFormat="1">
      <c r="C474" s="365"/>
      <c r="D474" s="365"/>
      <c r="E474" s="365"/>
      <c r="F474" s="365"/>
      <c r="G474" s="365"/>
      <c r="H474" s="383"/>
      <c r="I474" s="365"/>
      <c r="J474" s="383"/>
      <c r="K474" s="365"/>
      <c r="L474" s="365"/>
      <c r="M474" s="365"/>
      <c r="N474" s="383"/>
      <c r="O474" s="365"/>
      <c r="P474" s="365"/>
      <c r="Q474" s="365"/>
      <c r="R474" s="383"/>
      <c r="S474" s="365"/>
      <c r="T474" s="383"/>
      <c r="U474" s="365"/>
      <c r="V474" s="383"/>
      <c r="W474" s="365"/>
      <c r="X474" s="383"/>
      <c r="Y474" s="365"/>
      <c r="Z474" s="383"/>
      <c r="AA474" s="365"/>
      <c r="AB474" s="365"/>
      <c r="AC474" s="365"/>
      <c r="AD474" s="383"/>
      <c r="AE474" s="365"/>
      <c r="AF474" s="383"/>
      <c r="AG474" s="365"/>
      <c r="AH474" s="383"/>
      <c r="AI474" s="365"/>
      <c r="AJ474" s="383"/>
      <c r="AK474" s="365"/>
      <c r="AL474" s="383"/>
      <c r="AM474" s="353"/>
    </row>
    <row r="475" spans="3:39" s="352" customFormat="1">
      <c r="C475" s="365"/>
      <c r="D475" s="365"/>
      <c r="E475" s="365"/>
      <c r="F475" s="365"/>
      <c r="G475" s="365"/>
      <c r="H475" s="383"/>
      <c r="I475" s="365"/>
      <c r="J475" s="383"/>
      <c r="K475" s="365"/>
      <c r="L475" s="365"/>
      <c r="M475" s="365"/>
      <c r="N475" s="383"/>
      <c r="O475" s="365"/>
      <c r="P475" s="365"/>
      <c r="Q475" s="365"/>
      <c r="R475" s="383"/>
      <c r="S475" s="365"/>
      <c r="T475" s="383"/>
      <c r="U475" s="365"/>
      <c r="V475" s="383"/>
      <c r="W475" s="365"/>
      <c r="X475" s="383"/>
      <c r="Y475" s="365"/>
      <c r="Z475" s="383"/>
      <c r="AA475" s="365"/>
      <c r="AB475" s="365"/>
      <c r="AC475" s="365"/>
      <c r="AD475" s="383"/>
      <c r="AE475" s="365"/>
      <c r="AF475" s="383"/>
      <c r="AG475" s="365"/>
      <c r="AH475" s="383"/>
      <c r="AI475" s="365"/>
      <c r="AJ475" s="383"/>
      <c r="AK475" s="365"/>
      <c r="AL475" s="383"/>
      <c r="AM475" s="353"/>
    </row>
    <row r="476" spans="3:39" s="352" customFormat="1">
      <c r="C476" s="365"/>
      <c r="D476" s="365"/>
      <c r="E476" s="365"/>
      <c r="F476" s="365"/>
      <c r="G476" s="365"/>
      <c r="H476" s="383"/>
      <c r="I476" s="365"/>
      <c r="J476" s="383"/>
      <c r="K476" s="365"/>
      <c r="L476" s="365"/>
      <c r="M476" s="365"/>
      <c r="N476" s="383"/>
      <c r="O476" s="365"/>
      <c r="P476" s="365"/>
      <c r="Q476" s="365"/>
      <c r="R476" s="383"/>
      <c r="S476" s="365"/>
      <c r="T476" s="383"/>
      <c r="U476" s="365"/>
      <c r="V476" s="383"/>
      <c r="W476" s="365"/>
      <c r="X476" s="383"/>
      <c r="Y476" s="365"/>
      <c r="Z476" s="383"/>
      <c r="AA476" s="365"/>
      <c r="AB476" s="365"/>
      <c r="AC476" s="365"/>
      <c r="AD476" s="383"/>
      <c r="AE476" s="365"/>
      <c r="AF476" s="383"/>
      <c r="AG476" s="365"/>
      <c r="AH476" s="383"/>
      <c r="AI476" s="365"/>
      <c r="AJ476" s="383"/>
      <c r="AK476" s="365"/>
      <c r="AL476" s="383"/>
      <c r="AM476" s="353"/>
    </row>
    <row r="477" spans="3:39" s="352" customFormat="1">
      <c r="C477" s="365"/>
      <c r="D477" s="365"/>
      <c r="E477" s="365"/>
      <c r="F477" s="365"/>
      <c r="G477" s="365"/>
      <c r="H477" s="383"/>
      <c r="I477" s="365"/>
      <c r="J477" s="383"/>
      <c r="K477" s="365"/>
      <c r="L477" s="365"/>
      <c r="M477" s="365"/>
      <c r="N477" s="383"/>
      <c r="O477" s="365"/>
      <c r="P477" s="365"/>
      <c r="Q477" s="365"/>
      <c r="R477" s="383"/>
      <c r="S477" s="365"/>
      <c r="T477" s="383"/>
      <c r="U477" s="365"/>
      <c r="V477" s="383"/>
      <c r="W477" s="365"/>
      <c r="X477" s="383"/>
      <c r="Y477" s="365"/>
      <c r="Z477" s="383"/>
      <c r="AA477" s="365"/>
      <c r="AB477" s="365"/>
      <c r="AC477" s="365"/>
      <c r="AD477" s="383"/>
      <c r="AE477" s="365"/>
      <c r="AF477" s="383"/>
      <c r="AG477" s="365"/>
      <c r="AH477" s="383"/>
      <c r="AI477" s="365"/>
      <c r="AJ477" s="383"/>
      <c r="AK477" s="365"/>
      <c r="AL477" s="383"/>
      <c r="AM477" s="353"/>
    </row>
    <row r="478" spans="3:39" s="352" customFormat="1">
      <c r="C478" s="365"/>
      <c r="D478" s="365"/>
      <c r="E478" s="365"/>
      <c r="F478" s="365"/>
      <c r="G478" s="365"/>
      <c r="H478" s="383"/>
      <c r="I478" s="365"/>
      <c r="J478" s="383"/>
      <c r="K478" s="365"/>
      <c r="L478" s="365"/>
      <c r="M478" s="365"/>
      <c r="N478" s="383"/>
      <c r="O478" s="365"/>
      <c r="P478" s="365"/>
      <c r="Q478" s="365"/>
      <c r="R478" s="383"/>
      <c r="S478" s="365"/>
      <c r="T478" s="383"/>
      <c r="U478" s="365"/>
      <c r="V478" s="383"/>
      <c r="W478" s="365"/>
      <c r="X478" s="383"/>
      <c r="Y478" s="365"/>
      <c r="Z478" s="383"/>
      <c r="AA478" s="365"/>
      <c r="AB478" s="365"/>
      <c r="AC478" s="365"/>
      <c r="AD478" s="383"/>
      <c r="AE478" s="365"/>
      <c r="AF478" s="383"/>
      <c r="AG478" s="365"/>
      <c r="AH478" s="383"/>
      <c r="AI478" s="365"/>
      <c r="AJ478" s="383"/>
      <c r="AK478" s="365"/>
      <c r="AL478" s="383"/>
      <c r="AM478" s="353"/>
    </row>
    <row r="479" spans="3:39" s="352" customFormat="1">
      <c r="C479" s="365"/>
      <c r="D479" s="365"/>
      <c r="E479" s="365"/>
      <c r="F479" s="365"/>
      <c r="G479" s="365"/>
      <c r="H479" s="383"/>
      <c r="I479" s="365"/>
      <c r="J479" s="383"/>
      <c r="K479" s="365"/>
      <c r="L479" s="365"/>
      <c r="M479" s="365"/>
      <c r="N479" s="383"/>
      <c r="O479" s="365"/>
      <c r="P479" s="365"/>
      <c r="Q479" s="365"/>
      <c r="R479" s="383"/>
      <c r="S479" s="365"/>
      <c r="T479" s="383"/>
      <c r="U479" s="365"/>
      <c r="V479" s="383"/>
      <c r="W479" s="365"/>
      <c r="X479" s="383"/>
      <c r="Y479" s="365"/>
      <c r="Z479" s="383"/>
      <c r="AA479" s="365"/>
      <c r="AB479" s="365"/>
      <c r="AC479" s="365"/>
      <c r="AD479" s="383"/>
      <c r="AE479" s="365"/>
      <c r="AF479" s="383"/>
      <c r="AG479" s="365"/>
      <c r="AH479" s="383"/>
      <c r="AI479" s="365"/>
      <c r="AJ479" s="383"/>
      <c r="AK479" s="365"/>
      <c r="AL479" s="383"/>
      <c r="AM479" s="353"/>
    </row>
    <row r="480" spans="3:39" s="352" customFormat="1">
      <c r="C480" s="365"/>
      <c r="D480" s="365"/>
      <c r="E480" s="365"/>
      <c r="F480" s="365"/>
      <c r="G480" s="365"/>
      <c r="H480" s="383"/>
      <c r="I480" s="365"/>
      <c r="J480" s="383"/>
      <c r="K480" s="365"/>
      <c r="L480" s="365"/>
      <c r="M480" s="365"/>
      <c r="N480" s="383"/>
      <c r="O480" s="365"/>
      <c r="P480" s="365"/>
      <c r="Q480" s="365"/>
      <c r="R480" s="383"/>
      <c r="S480" s="365"/>
      <c r="T480" s="383"/>
      <c r="U480" s="365"/>
      <c r="V480" s="383"/>
      <c r="W480" s="365"/>
      <c r="X480" s="383"/>
      <c r="Y480" s="365"/>
      <c r="Z480" s="383"/>
      <c r="AA480" s="365"/>
      <c r="AB480" s="365"/>
      <c r="AC480" s="365"/>
      <c r="AD480" s="383"/>
      <c r="AE480" s="365"/>
      <c r="AF480" s="383"/>
      <c r="AG480" s="365"/>
      <c r="AH480" s="383"/>
      <c r="AI480" s="365"/>
      <c r="AJ480" s="383"/>
      <c r="AK480" s="365"/>
      <c r="AL480" s="383"/>
      <c r="AM480" s="353"/>
    </row>
    <row r="481" spans="3:39" s="352" customFormat="1">
      <c r="C481" s="365"/>
      <c r="D481" s="365"/>
      <c r="E481" s="365"/>
      <c r="F481" s="365"/>
      <c r="G481" s="365"/>
      <c r="H481" s="383"/>
      <c r="I481" s="365"/>
      <c r="J481" s="383"/>
      <c r="K481" s="365"/>
      <c r="L481" s="365"/>
      <c r="M481" s="365"/>
      <c r="N481" s="383"/>
      <c r="O481" s="365"/>
      <c r="P481" s="365"/>
      <c r="Q481" s="365"/>
      <c r="R481" s="383"/>
      <c r="S481" s="365"/>
      <c r="T481" s="383"/>
      <c r="U481" s="365"/>
      <c r="V481" s="383"/>
      <c r="W481" s="365"/>
      <c r="X481" s="383"/>
      <c r="Y481" s="365"/>
      <c r="Z481" s="383"/>
      <c r="AA481" s="365"/>
      <c r="AB481" s="365"/>
      <c r="AC481" s="365"/>
      <c r="AD481" s="383"/>
      <c r="AE481" s="365"/>
      <c r="AF481" s="383"/>
      <c r="AG481" s="365"/>
      <c r="AH481" s="383"/>
      <c r="AI481" s="365"/>
      <c r="AJ481" s="383"/>
      <c r="AK481" s="365"/>
      <c r="AL481" s="383"/>
      <c r="AM481" s="353"/>
    </row>
    <row r="482" spans="3:39" s="352" customFormat="1">
      <c r="C482" s="365"/>
      <c r="D482" s="365"/>
      <c r="E482" s="365"/>
      <c r="F482" s="365"/>
      <c r="G482" s="365"/>
      <c r="H482" s="383"/>
      <c r="I482" s="365"/>
      <c r="J482" s="383"/>
      <c r="K482" s="365"/>
      <c r="L482" s="365"/>
      <c r="M482" s="365"/>
      <c r="N482" s="383"/>
      <c r="O482" s="365"/>
      <c r="P482" s="365"/>
      <c r="Q482" s="365"/>
      <c r="R482" s="383"/>
      <c r="S482" s="365"/>
      <c r="T482" s="383"/>
      <c r="U482" s="365"/>
      <c r="V482" s="383"/>
      <c r="W482" s="365"/>
      <c r="X482" s="383"/>
      <c r="Y482" s="365"/>
      <c r="Z482" s="383"/>
      <c r="AA482" s="365"/>
      <c r="AB482" s="365"/>
      <c r="AC482" s="365"/>
      <c r="AD482" s="383"/>
      <c r="AE482" s="365"/>
      <c r="AF482" s="383"/>
      <c r="AG482" s="365"/>
      <c r="AH482" s="383"/>
      <c r="AI482" s="365"/>
      <c r="AJ482" s="383"/>
      <c r="AK482" s="365"/>
      <c r="AL482" s="383"/>
      <c r="AM482" s="353"/>
    </row>
    <row r="483" spans="3:39" s="352" customFormat="1">
      <c r="C483" s="365"/>
      <c r="D483" s="365"/>
      <c r="E483" s="365"/>
      <c r="F483" s="365"/>
      <c r="G483" s="365"/>
      <c r="H483" s="383"/>
      <c r="I483" s="365"/>
      <c r="J483" s="383"/>
      <c r="K483" s="365"/>
      <c r="L483" s="365"/>
      <c r="M483" s="365"/>
      <c r="N483" s="383"/>
      <c r="O483" s="365"/>
      <c r="P483" s="365"/>
      <c r="Q483" s="365"/>
      <c r="R483" s="383"/>
      <c r="S483" s="365"/>
      <c r="T483" s="383"/>
      <c r="U483" s="365"/>
      <c r="V483" s="383"/>
      <c r="W483" s="365"/>
      <c r="X483" s="383"/>
      <c r="Y483" s="365"/>
      <c r="Z483" s="383"/>
      <c r="AA483" s="365"/>
      <c r="AB483" s="365"/>
      <c r="AC483" s="365"/>
      <c r="AD483" s="383"/>
      <c r="AE483" s="365"/>
      <c r="AF483" s="383"/>
      <c r="AG483" s="365"/>
      <c r="AH483" s="383"/>
      <c r="AI483" s="365"/>
      <c r="AJ483" s="383"/>
      <c r="AK483" s="365"/>
      <c r="AL483" s="383"/>
      <c r="AM483" s="353"/>
    </row>
    <row r="484" spans="3:39" s="352" customFormat="1">
      <c r="C484" s="365"/>
      <c r="D484" s="365"/>
      <c r="E484" s="365"/>
      <c r="F484" s="365"/>
      <c r="G484" s="365"/>
      <c r="H484" s="383"/>
      <c r="I484" s="365"/>
      <c r="J484" s="383"/>
      <c r="K484" s="365"/>
      <c r="L484" s="365"/>
      <c r="M484" s="365"/>
      <c r="N484" s="383"/>
      <c r="O484" s="365"/>
      <c r="P484" s="365"/>
      <c r="Q484" s="365"/>
      <c r="R484" s="383"/>
      <c r="S484" s="365"/>
      <c r="T484" s="383"/>
      <c r="U484" s="365"/>
      <c r="V484" s="383"/>
      <c r="W484" s="365"/>
      <c r="X484" s="383"/>
      <c r="Y484" s="365"/>
      <c r="Z484" s="383"/>
      <c r="AA484" s="365"/>
      <c r="AB484" s="365"/>
      <c r="AC484" s="365"/>
      <c r="AD484" s="383"/>
      <c r="AE484" s="365"/>
      <c r="AF484" s="383"/>
      <c r="AG484" s="365"/>
      <c r="AH484" s="383"/>
      <c r="AI484" s="365"/>
      <c r="AJ484" s="383"/>
      <c r="AK484" s="365"/>
      <c r="AL484" s="383"/>
      <c r="AM484" s="353"/>
    </row>
    <row r="485" spans="3:39" s="352" customFormat="1">
      <c r="C485" s="365"/>
      <c r="D485" s="365"/>
      <c r="E485" s="365"/>
      <c r="F485" s="365"/>
      <c r="G485" s="365"/>
      <c r="H485" s="383"/>
      <c r="I485" s="365"/>
      <c r="J485" s="383"/>
      <c r="K485" s="365"/>
      <c r="L485" s="365"/>
      <c r="M485" s="365"/>
      <c r="N485" s="383"/>
      <c r="O485" s="365"/>
      <c r="P485" s="365"/>
      <c r="Q485" s="365"/>
      <c r="R485" s="383"/>
      <c r="S485" s="365"/>
      <c r="T485" s="383"/>
      <c r="U485" s="365"/>
      <c r="V485" s="383"/>
      <c r="W485" s="365"/>
      <c r="X485" s="383"/>
      <c r="Y485" s="365"/>
      <c r="Z485" s="383"/>
      <c r="AA485" s="365"/>
      <c r="AB485" s="365"/>
      <c r="AC485" s="365"/>
      <c r="AD485" s="383"/>
      <c r="AE485" s="365"/>
      <c r="AF485" s="383"/>
      <c r="AG485" s="365"/>
      <c r="AH485" s="383"/>
      <c r="AI485" s="365"/>
      <c r="AJ485" s="383"/>
      <c r="AK485" s="365"/>
      <c r="AL485" s="383"/>
      <c r="AM485" s="353"/>
    </row>
    <row r="486" spans="3:39" s="352" customFormat="1">
      <c r="C486" s="365"/>
      <c r="D486" s="365"/>
      <c r="E486" s="365"/>
      <c r="F486" s="365"/>
      <c r="G486" s="365"/>
      <c r="H486" s="383"/>
      <c r="I486" s="365"/>
      <c r="J486" s="383"/>
      <c r="K486" s="365"/>
      <c r="L486" s="365"/>
      <c r="M486" s="365"/>
      <c r="N486" s="383"/>
      <c r="O486" s="365"/>
      <c r="P486" s="365"/>
      <c r="Q486" s="365"/>
      <c r="R486" s="383"/>
      <c r="S486" s="365"/>
      <c r="T486" s="383"/>
      <c r="U486" s="365"/>
      <c r="V486" s="383"/>
      <c r="W486" s="365"/>
      <c r="X486" s="383"/>
      <c r="Y486" s="365"/>
      <c r="Z486" s="383"/>
      <c r="AA486" s="365"/>
      <c r="AB486" s="365"/>
      <c r="AC486" s="365"/>
      <c r="AD486" s="383"/>
      <c r="AE486" s="365"/>
      <c r="AF486" s="383"/>
      <c r="AG486" s="365"/>
      <c r="AH486" s="383"/>
      <c r="AI486" s="365"/>
      <c r="AJ486" s="383"/>
      <c r="AK486" s="365"/>
      <c r="AL486" s="383"/>
      <c r="AM486" s="353"/>
    </row>
    <row r="487" spans="3:39" s="352" customFormat="1">
      <c r="C487" s="365"/>
      <c r="D487" s="365"/>
      <c r="E487" s="365"/>
      <c r="F487" s="365"/>
      <c r="G487" s="365"/>
      <c r="H487" s="383"/>
      <c r="I487" s="365"/>
      <c r="J487" s="383"/>
      <c r="K487" s="365"/>
      <c r="L487" s="365"/>
      <c r="M487" s="365"/>
      <c r="N487" s="383"/>
      <c r="O487" s="365"/>
      <c r="P487" s="365"/>
      <c r="Q487" s="365"/>
      <c r="R487" s="383"/>
      <c r="S487" s="365"/>
      <c r="T487" s="383"/>
      <c r="U487" s="365"/>
      <c r="V487" s="383"/>
      <c r="W487" s="365"/>
      <c r="X487" s="383"/>
      <c r="Y487" s="365"/>
      <c r="Z487" s="383"/>
      <c r="AA487" s="365"/>
      <c r="AB487" s="365"/>
      <c r="AC487" s="365"/>
      <c r="AD487" s="383"/>
      <c r="AE487" s="365"/>
      <c r="AF487" s="383"/>
      <c r="AG487" s="365"/>
      <c r="AH487" s="383"/>
      <c r="AI487" s="365"/>
      <c r="AJ487" s="383"/>
      <c r="AK487" s="365"/>
      <c r="AL487" s="383"/>
      <c r="AM487" s="353"/>
    </row>
    <row r="488" spans="3:39" s="352" customFormat="1">
      <c r="C488" s="365"/>
      <c r="D488" s="365"/>
      <c r="E488" s="365"/>
      <c r="F488" s="365"/>
      <c r="G488" s="365"/>
      <c r="H488" s="383"/>
      <c r="I488" s="365"/>
      <c r="J488" s="383"/>
      <c r="K488" s="365"/>
      <c r="L488" s="365"/>
      <c r="M488" s="365"/>
      <c r="N488" s="383"/>
      <c r="O488" s="365"/>
      <c r="P488" s="365"/>
      <c r="Q488" s="365"/>
      <c r="R488" s="383"/>
      <c r="S488" s="365"/>
      <c r="T488" s="383"/>
      <c r="U488" s="365"/>
      <c r="V488" s="383"/>
      <c r="W488" s="365"/>
      <c r="X488" s="383"/>
      <c r="Y488" s="365"/>
      <c r="Z488" s="383"/>
      <c r="AA488" s="365"/>
      <c r="AB488" s="365"/>
      <c r="AC488" s="365"/>
      <c r="AD488" s="383"/>
      <c r="AE488" s="365"/>
      <c r="AF488" s="383"/>
      <c r="AG488" s="365"/>
      <c r="AH488" s="383"/>
      <c r="AI488" s="365"/>
      <c r="AJ488" s="383"/>
      <c r="AK488" s="365"/>
      <c r="AL488" s="383"/>
      <c r="AM488" s="353"/>
    </row>
    <row r="489" spans="3:39" s="352" customFormat="1">
      <c r="C489" s="365"/>
      <c r="D489" s="365"/>
      <c r="E489" s="365"/>
      <c r="F489" s="365"/>
      <c r="G489" s="365"/>
      <c r="H489" s="383"/>
      <c r="I489" s="365"/>
      <c r="J489" s="383"/>
      <c r="K489" s="365"/>
      <c r="L489" s="365"/>
      <c r="M489" s="365"/>
      <c r="N489" s="383"/>
      <c r="O489" s="365"/>
      <c r="P489" s="365"/>
      <c r="Q489" s="365"/>
      <c r="R489" s="383"/>
      <c r="S489" s="365"/>
      <c r="T489" s="383"/>
      <c r="U489" s="365"/>
      <c r="V489" s="383"/>
      <c r="W489" s="365"/>
      <c r="X489" s="383"/>
      <c r="Y489" s="365"/>
      <c r="Z489" s="383"/>
      <c r="AA489" s="365"/>
      <c r="AB489" s="365"/>
      <c r="AC489" s="365"/>
      <c r="AD489" s="383"/>
      <c r="AE489" s="365"/>
      <c r="AF489" s="383"/>
      <c r="AG489" s="365"/>
      <c r="AH489" s="383"/>
      <c r="AI489" s="365"/>
      <c r="AJ489" s="383"/>
      <c r="AK489" s="365"/>
      <c r="AL489" s="383"/>
      <c r="AM489" s="353"/>
    </row>
    <row r="490" spans="3:39" s="352" customFormat="1">
      <c r="C490" s="365"/>
      <c r="D490" s="365"/>
      <c r="E490" s="365"/>
      <c r="F490" s="365"/>
      <c r="G490" s="365"/>
      <c r="H490" s="383"/>
      <c r="I490" s="365"/>
      <c r="J490" s="383"/>
      <c r="K490" s="365"/>
      <c r="L490" s="365"/>
      <c r="M490" s="365"/>
      <c r="N490" s="383"/>
      <c r="O490" s="365"/>
      <c r="P490" s="365"/>
      <c r="Q490" s="365"/>
      <c r="R490" s="383"/>
      <c r="S490" s="365"/>
      <c r="T490" s="383"/>
      <c r="U490" s="365"/>
      <c r="V490" s="383"/>
      <c r="W490" s="365"/>
      <c r="X490" s="383"/>
      <c r="Y490" s="365"/>
      <c r="Z490" s="383"/>
      <c r="AA490" s="365"/>
      <c r="AB490" s="365"/>
      <c r="AC490" s="365"/>
      <c r="AD490" s="383"/>
      <c r="AE490" s="365"/>
      <c r="AF490" s="383"/>
      <c r="AG490" s="365"/>
      <c r="AH490" s="383"/>
      <c r="AI490" s="365"/>
      <c r="AJ490" s="383"/>
      <c r="AK490" s="365"/>
      <c r="AL490" s="383"/>
      <c r="AM490" s="353"/>
    </row>
    <row r="491" spans="3:39" s="352" customFormat="1">
      <c r="C491" s="365"/>
      <c r="D491" s="365"/>
      <c r="E491" s="365"/>
      <c r="F491" s="365"/>
      <c r="G491" s="365"/>
      <c r="H491" s="383"/>
      <c r="I491" s="365"/>
      <c r="J491" s="383"/>
      <c r="K491" s="365"/>
      <c r="L491" s="365"/>
      <c r="M491" s="365"/>
      <c r="N491" s="383"/>
      <c r="O491" s="365"/>
      <c r="P491" s="365"/>
      <c r="Q491" s="365"/>
      <c r="R491" s="383"/>
      <c r="S491" s="365"/>
      <c r="T491" s="383"/>
      <c r="U491" s="365"/>
      <c r="V491" s="383"/>
      <c r="W491" s="365"/>
      <c r="X491" s="383"/>
      <c r="Y491" s="365"/>
      <c r="Z491" s="383"/>
      <c r="AA491" s="365"/>
      <c r="AB491" s="365"/>
      <c r="AC491" s="365"/>
      <c r="AD491" s="383"/>
      <c r="AE491" s="365"/>
      <c r="AF491" s="383"/>
      <c r="AG491" s="365"/>
      <c r="AH491" s="383"/>
      <c r="AI491" s="365"/>
      <c r="AJ491" s="383"/>
      <c r="AK491" s="365"/>
      <c r="AL491" s="383"/>
      <c r="AM491" s="353"/>
    </row>
    <row r="492" spans="3:39" s="352" customFormat="1">
      <c r="C492" s="365"/>
      <c r="D492" s="365"/>
      <c r="E492" s="365"/>
      <c r="F492" s="365"/>
      <c r="G492" s="365"/>
      <c r="H492" s="383"/>
      <c r="I492" s="365"/>
      <c r="J492" s="383"/>
      <c r="K492" s="365"/>
      <c r="L492" s="365"/>
      <c r="M492" s="365"/>
      <c r="N492" s="383"/>
      <c r="O492" s="365"/>
      <c r="P492" s="365"/>
      <c r="Q492" s="365"/>
      <c r="R492" s="383"/>
      <c r="S492" s="365"/>
      <c r="T492" s="383"/>
      <c r="U492" s="365"/>
      <c r="V492" s="383"/>
      <c r="W492" s="365"/>
      <c r="X492" s="383"/>
      <c r="Y492" s="365"/>
      <c r="Z492" s="383"/>
      <c r="AA492" s="365"/>
      <c r="AB492" s="365"/>
      <c r="AC492" s="365"/>
      <c r="AD492" s="383"/>
      <c r="AE492" s="365"/>
      <c r="AF492" s="383"/>
      <c r="AG492" s="365"/>
      <c r="AH492" s="383"/>
      <c r="AI492" s="365"/>
      <c r="AJ492" s="383"/>
      <c r="AK492" s="365"/>
      <c r="AL492" s="383"/>
      <c r="AM492" s="353"/>
    </row>
    <row r="493" spans="3:39" s="352" customFormat="1">
      <c r="C493" s="365"/>
      <c r="D493" s="365"/>
      <c r="E493" s="365"/>
      <c r="F493" s="365"/>
      <c r="G493" s="365"/>
      <c r="H493" s="383"/>
      <c r="I493" s="365"/>
      <c r="J493" s="383"/>
      <c r="K493" s="365"/>
      <c r="L493" s="365"/>
      <c r="M493" s="365"/>
      <c r="N493" s="383"/>
      <c r="O493" s="365"/>
      <c r="P493" s="365"/>
      <c r="Q493" s="365"/>
      <c r="R493" s="383"/>
      <c r="S493" s="365"/>
      <c r="T493" s="383"/>
      <c r="U493" s="365"/>
      <c r="V493" s="383"/>
      <c r="W493" s="365"/>
      <c r="X493" s="383"/>
      <c r="Y493" s="365"/>
      <c r="Z493" s="383"/>
      <c r="AA493" s="365"/>
      <c r="AB493" s="365"/>
      <c r="AC493" s="365"/>
      <c r="AD493" s="383"/>
      <c r="AE493" s="365"/>
      <c r="AF493" s="383"/>
      <c r="AG493" s="365"/>
      <c r="AH493" s="383"/>
      <c r="AI493" s="365"/>
      <c r="AJ493" s="383"/>
      <c r="AK493" s="365"/>
      <c r="AL493" s="383"/>
      <c r="AM493" s="353"/>
    </row>
    <row r="494" spans="3:39" s="352" customFormat="1">
      <c r="C494" s="365"/>
      <c r="D494" s="365"/>
      <c r="E494" s="365"/>
      <c r="F494" s="365"/>
      <c r="G494" s="365"/>
      <c r="H494" s="383"/>
      <c r="I494" s="365"/>
      <c r="J494" s="383"/>
      <c r="K494" s="365"/>
      <c r="L494" s="365"/>
      <c r="M494" s="365"/>
      <c r="N494" s="383"/>
      <c r="O494" s="365"/>
      <c r="P494" s="365"/>
      <c r="Q494" s="365"/>
      <c r="R494" s="383"/>
      <c r="S494" s="365"/>
      <c r="T494" s="383"/>
      <c r="U494" s="365"/>
      <c r="V494" s="383"/>
      <c r="W494" s="365"/>
      <c r="X494" s="383"/>
      <c r="Y494" s="365"/>
      <c r="Z494" s="383"/>
      <c r="AA494" s="365"/>
      <c r="AB494" s="365"/>
      <c r="AC494" s="365"/>
      <c r="AD494" s="383"/>
      <c r="AE494" s="365"/>
      <c r="AF494" s="383"/>
      <c r="AG494" s="365"/>
      <c r="AH494" s="383"/>
      <c r="AI494" s="365"/>
      <c r="AJ494" s="383"/>
      <c r="AK494" s="365"/>
      <c r="AL494" s="383"/>
      <c r="AM494" s="353"/>
    </row>
    <row r="495" spans="3:39" s="352" customFormat="1">
      <c r="C495" s="365"/>
      <c r="D495" s="365"/>
      <c r="E495" s="365"/>
      <c r="F495" s="365"/>
      <c r="G495" s="365"/>
      <c r="H495" s="383"/>
      <c r="I495" s="365"/>
      <c r="J495" s="383"/>
      <c r="K495" s="365"/>
      <c r="L495" s="365"/>
      <c r="M495" s="365"/>
      <c r="N495" s="383"/>
      <c r="O495" s="365"/>
      <c r="P495" s="365"/>
      <c r="Q495" s="365"/>
      <c r="R495" s="383"/>
      <c r="S495" s="365"/>
      <c r="T495" s="383"/>
      <c r="U495" s="365"/>
      <c r="V495" s="383"/>
      <c r="W495" s="365"/>
      <c r="X495" s="383"/>
      <c r="Y495" s="365"/>
      <c r="Z495" s="383"/>
      <c r="AA495" s="365"/>
      <c r="AB495" s="365"/>
      <c r="AC495" s="365"/>
      <c r="AD495" s="383"/>
      <c r="AE495" s="365"/>
      <c r="AF495" s="383"/>
      <c r="AG495" s="365"/>
      <c r="AH495" s="383"/>
      <c r="AI495" s="365"/>
      <c r="AJ495" s="383"/>
      <c r="AK495" s="365"/>
      <c r="AL495" s="383"/>
      <c r="AM495" s="353"/>
    </row>
    <row r="496" spans="3:39" s="352" customFormat="1">
      <c r="C496" s="365"/>
      <c r="D496" s="365"/>
      <c r="E496" s="365"/>
      <c r="F496" s="365"/>
      <c r="G496" s="365"/>
      <c r="H496" s="383"/>
      <c r="I496" s="365"/>
      <c r="J496" s="383"/>
      <c r="K496" s="365"/>
      <c r="L496" s="365"/>
      <c r="M496" s="365"/>
      <c r="N496" s="383"/>
      <c r="O496" s="365"/>
      <c r="P496" s="365"/>
      <c r="Q496" s="365"/>
      <c r="R496" s="383"/>
      <c r="S496" s="365"/>
      <c r="T496" s="383"/>
      <c r="U496" s="365"/>
      <c r="V496" s="383"/>
      <c r="W496" s="365"/>
      <c r="X496" s="383"/>
      <c r="Y496" s="365"/>
      <c r="Z496" s="383"/>
      <c r="AA496" s="365"/>
      <c r="AB496" s="365"/>
      <c r="AC496" s="365"/>
      <c r="AD496" s="383"/>
      <c r="AE496" s="365"/>
      <c r="AF496" s="383"/>
      <c r="AG496" s="365"/>
      <c r="AH496" s="383"/>
      <c r="AI496" s="365"/>
      <c r="AJ496" s="383"/>
      <c r="AK496" s="365"/>
      <c r="AL496" s="383"/>
      <c r="AM496" s="353"/>
    </row>
    <row r="497" spans="3:39" s="352" customFormat="1">
      <c r="C497" s="365"/>
      <c r="D497" s="365"/>
      <c r="E497" s="365"/>
      <c r="F497" s="365"/>
      <c r="G497" s="365"/>
      <c r="H497" s="383"/>
      <c r="I497" s="365"/>
      <c r="J497" s="383"/>
      <c r="K497" s="365"/>
      <c r="L497" s="365"/>
      <c r="M497" s="365"/>
      <c r="N497" s="383"/>
      <c r="O497" s="365"/>
      <c r="P497" s="365"/>
      <c r="Q497" s="365"/>
      <c r="R497" s="383"/>
      <c r="S497" s="365"/>
      <c r="T497" s="383"/>
      <c r="U497" s="365"/>
      <c r="V497" s="383"/>
      <c r="W497" s="365"/>
      <c r="X497" s="383"/>
      <c r="Y497" s="365"/>
      <c r="Z497" s="383"/>
      <c r="AA497" s="365"/>
      <c r="AB497" s="365"/>
      <c r="AC497" s="365"/>
      <c r="AD497" s="383"/>
      <c r="AE497" s="365"/>
      <c r="AF497" s="383"/>
      <c r="AG497" s="365"/>
      <c r="AH497" s="383"/>
      <c r="AI497" s="365"/>
      <c r="AJ497" s="383"/>
      <c r="AK497" s="365"/>
      <c r="AL497" s="383"/>
      <c r="AM497" s="353"/>
    </row>
    <row r="498" spans="3:39" s="352" customFormat="1">
      <c r="C498" s="365"/>
      <c r="D498" s="365"/>
      <c r="E498" s="365"/>
      <c r="F498" s="365"/>
      <c r="G498" s="365"/>
      <c r="H498" s="383"/>
      <c r="I498" s="365"/>
      <c r="J498" s="383"/>
      <c r="K498" s="365"/>
      <c r="L498" s="365"/>
      <c r="M498" s="365"/>
      <c r="N498" s="383"/>
      <c r="O498" s="365"/>
      <c r="P498" s="365"/>
      <c r="Q498" s="365"/>
      <c r="R498" s="383"/>
      <c r="S498" s="365"/>
      <c r="T498" s="383"/>
      <c r="U498" s="365"/>
      <c r="V498" s="383"/>
      <c r="W498" s="365"/>
      <c r="X498" s="383"/>
      <c r="Y498" s="365"/>
      <c r="Z498" s="383"/>
      <c r="AA498" s="365"/>
      <c r="AB498" s="365"/>
      <c r="AC498" s="365"/>
      <c r="AD498" s="383"/>
      <c r="AE498" s="365"/>
      <c r="AF498" s="383"/>
      <c r="AG498" s="365"/>
      <c r="AH498" s="383"/>
      <c r="AI498" s="365"/>
      <c r="AJ498" s="383"/>
      <c r="AK498" s="365"/>
      <c r="AL498" s="383"/>
      <c r="AM498" s="353"/>
    </row>
    <row r="499" spans="3:39" s="352" customFormat="1">
      <c r="C499" s="365"/>
      <c r="D499" s="365"/>
      <c r="E499" s="365"/>
      <c r="F499" s="365"/>
      <c r="G499" s="365"/>
      <c r="H499" s="383"/>
      <c r="I499" s="365"/>
      <c r="J499" s="383"/>
      <c r="K499" s="365"/>
      <c r="L499" s="365"/>
      <c r="M499" s="365"/>
      <c r="N499" s="383"/>
      <c r="O499" s="365"/>
      <c r="P499" s="365"/>
      <c r="Q499" s="365"/>
      <c r="R499" s="383"/>
      <c r="S499" s="365"/>
      <c r="T499" s="383"/>
      <c r="U499" s="365"/>
      <c r="V499" s="383"/>
      <c r="W499" s="365"/>
      <c r="X499" s="383"/>
      <c r="Y499" s="365"/>
      <c r="Z499" s="383"/>
      <c r="AA499" s="365"/>
      <c r="AB499" s="365"/>
      <c r="AC499" s="365"/>
      <c r="AD499" s="383"/>
      <c r="AE499" s="365"/>
      <c r="AF499" s="383"/>
      <c r="AG499" s="365"/>
      <c r="AH499" s="383"/>
      <c r="AI499" s="365"/>
      <c r="AJ499" s="383"/>
      <c r="AK499" s="365"/>
      <c r="AL499" s="383"/>
      <c r="AM499" s="353"/>
    </row>
  </sheetData>
  <sheetProtection password="C6DB" sheet="1" objects="1" scenarios="1" formatCells="0" formatColumns="0" formatRows="0"/>
  <mergeCells count="53">
    <mergeCell ref="A2:N2"/>
    <mergeCell ref="A3:N3"/>
    <mergeCell ref="A4:N4"/>
    <mergeCell ref="C8:N8"/>
    <mergeCell ref="O8:Z8"/>
    <mergeCell ref="C5:K5"/>
    <mergeCell ref="C6:K6"/>
    <mergeCell ref="AA8:AL8"/>
    <mergeCell ref="B8:B10"/>
    <mergeCell ref="A8:A10"/>
    <mergeCell ref="U9:V9"/>
    <mergeCell ref="W9:X9"/>
    <mergeCell ref="Y9:Z9"/>
    <mergeCell ref="AC9:AD9"/>
    <mergeCell ref="AE9:AF9"/>
    <mergeCell ref="AG9:AH9"/>
    <mergeCell ref="AI9:AJ9"/>
    <mergeCell ref="AK9:AL9"/>
    <mergeCell ref="A84:B84"/>
    <mergeCell ref="Q9:R9"/>
    <mergeCell ref="S9:T9"/>
    <mergeCell ref="E9:F9"/>
    <mergeCell ref="G9:H9"/>
    <mergeCell ref="I9:J9"/>
    <mergeCell ref="K9:L9"/>
    <mergeCell ref="M9:N9"/>
    <mergeCell ref="AA86:AL86"/>
    <mergeCell ref="AK87:AL87"/>
    <mergeCell ref="AE87:AF87"/>
    <mergeCell ref="AG87:AH87"/>
    <mergeCell ref="AI87:AJ87"/>
    <mergeCell ref="AC87:AD87"/>
    <mergeCell ref="Q87:R87"/>
    <mergeCell ref="S87:T87"/>
    <mergeCell ref="U87:V87"/>
    <mergeCell ref="W87:X87"/>
    <mergeCell ref="O86:Z86"/>
    <mergeCell ref="Y87:Z87"/>
    <mergeCell ref="B126:P126"/>
    <mergeCell ref="B123:P123"/>
    <mergeCell ref="B121:P121"/>
    <mergeCell ref="B122:P122"/>
    <mergeCell ref="B124:P124"/>
    <mergeCell ref="B125:P125"/>
    <mergeCell ref="I87:J87"/>
    <mergeCell ref="K87:L87"/>
    <mergeCell ref="C86:N86"/>
    <mergeCell ref="A89:B89"/>
    <mergeCell ref="A100:B100"/>
    <mergeCell ref="A86:B88"/>
    <mergeCell ref="E87:F87"/>
    <mergeCell ref="G87:H87"/>
    <mergeCell ref="M87:N87"/>
  </mergeCells>
  <printOptions horizontalCentered="1"/>
  <pageMargins left="0.31496062992125984" right="0.31496062992125984" top="0.74803149606299213" bottom="0.35433070866141736" header="0.31496062992125984" footer="0.31496062992125984"/>
  <pageSetup paperSize="9" scale="60" orientation="landscape" r:id="rId1"/>
  <headerFooter>
    <oddFooter>&amp;A&amp;RPage &amp;P</oddFooter>
  </headerFooter>
  <rowBreaks count="2" manualBreakCount="2">
    <brk id="50" max="37" man="1"/>
    <brk id="97" max="37" man="1"/>
  </rowBreaks>
  <colBreaks count="2" manualBreakCount="2">
    <brk id="14" max="129" man="1"/>
    <brk id="26" max="129" man="1"/>
  </col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theme="5" tint="0.79998168889431442"/>
  </sheetPr>
  <dimension ref="A1:N115"/>
  <sheetViews>
    <sheetView showGridLines="0" view="pageBreakPreview" zoomScale="85" zoomScaleNormal="110" zoomScaleSheetLayoutView="85" workbookViewId="0">
      <selection activeCell="G9" sqref="G9"/>
    </sheetView>
  </sheetViews>
  <sheetFormatPr defaultRowHeight="12.75"/>
  <cols>
    <col min="1" max="1" width="46" style="2" customWidth="1"/>
    <col min="2" max="2" width="16.7109375" style="2" customWidth="1"/>
    <col min="3" max="9" width="10.7109375" style="2" customWidth="1"/>
    <col min="10" max="10" width="9.140625" style="49"/>
    <col min="11" max="11" width="16.42578125" style="2" customWidth="1"/>
    <col min="12" max="256" width="9.140625" style="2"/>
    <col min="257" max="257" width="44.7109375" style="2" customWidth="1"/>
    <col min="258" max="258" width="16.7109375" style="2" customWidth="1"/>
    <col min="259" max="265" width="10.7109375" style="2" customWidth="1"/>
    <col min="266" max="266" width="9.140625" style="2"/>
    <col min="267" max="267" width="16.42578125" style="2" customWidth="1"/>
    <col min="268" max="512" width="9.140625" style="2"/>
    <col min="513" max="513" width="44.7109375" style="2" customWidth="1"/>
    <col min="514" max="514" width="16.7109375" style="2" customWidth="1"/>
    <col min="515" max="521" width="10.7109375" style="2" customWidth="1"/>
    <col min="522" max="522" width="9.140625" style="2"/>
    <col min="523" max="523" width="16.42578125" style="2" customWidth="1"/>
    <col min="524" max="768" width="9.140625" style="2"/>
    <col min="769" max="769" width="44.7109375" style="2" customWidth="1"/>
    <col min="770" max="770" width="16.7109375" style="2" customWidth="1"/>
    <col min="771" max="777" width="10.7109375" style="2" customWidth="1"/>
    <col min="778" max="778" width="9.140625" style="2"/>
    <col min="779" max="779" width="16.42578125" style="2" customWidth="1"/>
    <col min="780" max="1024" width="9.140625" style="2"/>
    <col min="1025" max="1025" width="44.7109375" style="2" customWidth="1"/>
    <col min="1026" max="1026" width="16.7109375" style="2" customWidth="1"/>
    <col min="1027" max="1033" width="10.7109375" style="2" customWidth="1"/>
    <col min="1034" max="1034" width="9.140625" style="2"/>
    <col min="1035" max="1035" width="16.42578125" style="2" customWidth="1"/>
    <col min="1036" max="1280" width="9.140625" style="2"/>
    <col min="1281" max="1281" width="44.7109375" style="2" customWidth="1"/>
    <col min="1282" max="1282" width="16.7109375" style="2" customWidth="1"/>
    <col min="1283" max="1289" width="10.7109375" style="2" customWidth="1"/>
    <col min="1290" max="1290" width="9.140625" style="2"/>
    <col min="1291" max="1291" width="16.42578125" style="2" customWidth="1"/>
    <col min="1292" max="1536" width="9.140625" style="2"/>
    <col min="1537" max="1537" width="44.7109375" style="2" customWidth="1"/>
    <col min="1538" max="1538" width="16.7109375" style="2" customWidth="1"/>
    <col min="1539" max="1545" width="10.7109375" style="2" customWidth="1"/>
    <col min="1546" max="1546" width="9.140625" style="2"/>
    <col min="1547" max="1547" width="16.42578125" style="2" customWidth="1"/>
    <col min="1548" max="1792" width="9.140625" style="2"/>
    <col min="1793" max="1793" width="44.7109375" style="2" customWidth="1"/>
    <col min="1794" max="1794" width="16.7109375" style="2" customWidth="1"/>
    <col min="1795" max="1801" width="10.7109375" style="2" customWidth="1"/>
    <col min="1802" max="1802" width="9.140625" style="2"/>
    <col min="1803" max="1803" width="16.42578125" style="2" customWidth="1"/>
    <col min="1804" max="2048" width="9.140625" style="2"/>
    <col min="2049" max="2049" width="44.7109375" style="2" customWidth="1"/>
    <col min="2050" max="2050" width="16.7109375" style="2" customWidth="1"/>
    <col min="2051" max="2057" width="10.7109375" style="2" customWidth="1"/>
    <col min="2058" max="2058" width="9.140625" style="2"/>
    <col min="2059" max="2059" width="16.42578125" style="2" customWidth="1"/>
    <col min="2060" max="2304" width="9.140625" style="2"/>
    <col min="2305" max="2305" width="44.7109375" style="2" customWidth="1"/>
    <col min="2306" max="2306" width="16.7109375" style="2" customWidth="1"/>
    <col min="2307" max="2313" width="10.7109375" style="2" customWidth="1"/>
    <col min="2314" max="2314" width="9.140625" style="2"/>
    <col min="2315" max="2315" width="16.42578125" style="2" customWidth="1"/>
    <col min="2316" max="2560" width="9.140625" style="2"/>
    <col min="2561" max="2561" width="44.7109375" style="2" customWidth="1"/>
    <col min="2562" max="2562" width="16.7109375" style="2" customWidth="1"/>
    <col min="2563" max="2569" width="10.7109375" style="2" customWidth="1"/>
    <col min="2570" max="2570" width="9.140625" style="2"/>
    <col min="2571" max="2571" width="16.42578125" style="2" customWidth="1"/>
    <col min="2572" max="2816" width="9.140625" style="2"/>
    <col min="2817" max="2817" width="44.7109375" style="2" customWidth="1"/>
    <col min="2818" max="2818" width="16.7109375" style="2" customWidth="1"/>
    <col min="2819" max="2825" width="10.7109375" style="2" customWidth="1"/>
    <col min="2826" max="2826" width="9.140625" style="2"/>
    <col min="2827" max="2827" width="16.42578125" style="2" customWidth="1"/>
    <col min="2828" max="3072" width="9.140625" style="2"/>
    <col min="3073" max="3073" width="44.7109375" style="2" customWidth="1"/>
    <col min="3074" max="3074" width="16.7109375" style="2" customWidth="1"/>
    <col min="3075" max="3081" width="10.7109375" style="2" customWidth="1"/>
    <col min="3082" max="3082" width="9.140625" style="2"/>
    <col min="3083" max="3083" width="16.42578125" style="2" customWidth="1"/>
    <col min="3084" max="3328" width="9.140625" style="2"/>
    <col min="3329" max="3329" width="44.7109375" style="2" customWidth="1"/>
    <col min="3330" max="3330" width="16.7109375" style="2" customWidth="1"/>
    <col min="3331" max="3337" width="10.7109375" style="2" customWidth="1"/>
    <col min="3338" max="3338" width="9.140625" style="2"/>
    <col min="3339" max="3339" width="16.42578125" style="2" customWidth="1"/>
    <col min="3340" max="3584" width="9.140625" style="2"/>
    <col min="3585" max="3585" width="44.7109375" style="2" customWidth="1"/>
    <col min="3586" max="3586" width="16.7109375" style="2" customWidth="1"/>
    <col min="3587" max="3593" width="10.7109375" style="2" customWidth="1"/>
    <col min="3594" max="3594" width="9.140625" style="2"/>
    <col min="3595" max="3595" width="16.42578125" style="2" customWidth="1"/>
    <col min="3596" max="3840" width="9.140625" style="2"/>
    <col min="3841" max="3841" width="44.7109375" style="2" customWidth="1"/>
    <col min="3842" max="3842" width="16.7109375" style="2" customWidth="1"/>
    <col min="3843" max="3849" width="10.7109375" style="2" customWidth="1"/>
    <col min="3850" max="3850" width="9.140625" style="2"/>
    <col min="3851" max="3851" width="16.42578125" style="2" customWidth="1"/>
    <col min="3852" max="4096" width="9.140625" style="2"/>
    <col min="4097" max="4097" width="44.7109375" style="2" customWidth="1"/>
    <col min="4098" max="4098" width="16.7109375" style="2" customWidth="1"/>
    <col min="4099" max="4105" width="10.7109375" style="2" customWidth="1"/>
    <col min="4106" max="4106" width="9.140625" style="2"/>
    <col min="4107" max="4107" width="16.42578125" style="2" customWidth="1"/>
    <col min="4108" max="4352" width="9.140625" style="2"/>
    <col min="4353" max="4353" width="44.7109375" style="2" customWidth="1"/>
    <col min="4354" max="4354" width="16.7109375" style="2" customWidth="1"/>
    <col min="4355" max="4361" width="10.7109375" style="2" customWidth="1"/>
    <col min="4362" max="4362" width="9.140625" style="2"/>
    <col min="4363" max="4363" width="16.42578125" style="2" customWidth="1"/>
    <col min="4364" max="4608" width="9.140625" style="2"/>
    <col min="4609" max="4609" width="44.7109375" style="2" customWidth="1"/>
    <col min="4610" max="4610" width="16.7109375" style="2" customWidth="1"/>
    <col min="4611" max="4617" width="10.7109375" style="2" customWidth="1"/>
    <col min="4618" max="4618" width="9.140625" style="2"/>
    <col min="4619" max="4619" width="16.42578125" style="2" customWidth="1"/>
    <col min="4620" max="4864" width="9.140625" style="2"/>
    <col min="4865" max="4865" width="44.7109375" style="2" customWidth="1"/>
    <col min="4866" max="4866" width="16.7109375" style="2" customWidth="1"/>
    <col min="4867" max="4873" width="10.7109375" style="2" customWidth="1"/>
    <col min="4874" max="4874" width="9.140625" style="2"/>
    <col min="4875" max="4875" width="16.42578125" style="2" customWidth="1"/>
    <col min="4876" max="5120" width="9.140625" style="2"/>
    <col min="5121" max="5121" width="44.7109375" style="2" customWidth="1"/>
    <col min="5122" max="5122" width="16.7109375" style="2" customWidth="1"/>
    <col min="5123" max="5129" width="10.7109375" style="2" customWidth="1"/>
    <col min="5130" max="5130" width="9.140625" style="2"/>
    <col min="5131" max="5131" width="16.42578125" style="2" customWidth="1"/>
    <col min="5132" max="5376" width="9.140625" style="2"/>
    <col min="5377" max="5377" width="44.7109375" style="2" customWidth="1"/>
    <col min="5378" max="5378" width="16.7109375" style="2" customWidth="1"/>
    <col min="5379" max="5385" width="10.7109375" style="2" customWidth="1"/>
    <col min="5386" max="5386" width="9.140625" style="2"/>
    <col min="5387" max="5387" width="16.42578125" style="2" customWidth="1"/>
    <col min="5388" max="5632" width="9.140625" style="2"/>
    <col min="5633" max="5633" width="44.7109375" style="2" customWidth="1"/>
    <col min="5634" max="5634" width="16.7109375" style="2" customWidth="1"/>
    <col min="5635" max="5641" width="10.7109375" style="2" customWidth="1"/>
    <col min="5642" max="5642" width="9.140625" style="2"/>
    <col min="5643" max="5643" width="16.42578125" style="2" customWidth="1"/>
    <col min="5644" max="5888" width="9.140625" style="2"/>
    <col min="5889" max="5889" width="44.7109375" style="2" customWidth="1"/>
    <col min="5890" max="5890" width="16.7109375" style="2" customWidth="1"/>
    <col min="5891" max="5897" width="10.7109375" style="2" customWidth="1"/>
    <col min="5898" max="5898" width="9.140625" style="2"/>
    <col min="5899" max="5899" width="16.42578125" style="2" customWidth="1"/>
    <col min="5900" max="6144" width="9.140625" style="2"/>
    <col min="6145" max="6145" width="44.7109375" style="2" customWidth="1"/>
    <col min="6146" max="6146" width="16.7109375" style="2" customWidth="1"/>
    <col min="6147" max="6153" width="10.7109375" style="2" customWidth="1"/>
    <col min="6154" max="6154" width="9.140625" style="2"/>
    <col min="6155" max="6155" width="16.42578125" style="2" customWidth="1"/>
    <col min="6156" max="6400" width="9.140625" style="2"/>
    <col min="6401" max="6401" width="44.7109375" style="2" customWidth="1"/>
    <col min="6402" max="6402" width="16.7109375" style="2" customWidth="1"/>
    <col min="6403" max="6409" width="10.7109375" style="2" customWidth="1"/>
    <col min="6410" max="6410" width="9.140625" style="2"/>
    <col min="6411" max="6411" width="16.42578125" style="2" customWidth="1"/>
    <col min="6412" max="6656" width="9.140625" style="2"/>
    <col min="6657" max="6657" width="44.7109375" style="2" customWidth="1"/>
    <col min="6658" max="6658" width="16.7109375" style="2" customWidth="1"/>
    <col min="6659" max="6665" width="10.7109375" style="2" customWidth="1"/>
    <col min="6666" max="6666" width="9.140625" style="2"/>
    <col min="6667" max="6667" width="16.42578125" style="2" customWidth="1"/>
    <col min="6668" max="6912" width="9.140625" style="2"/>
    <col min="6913" max="6913" width="44.7109375" style="2" customWidth="1"/>
    <col min="6914" max="6914" width="16.7109375" style="2" customWidth="1"/>
    <col min="6915" max="6921" width="10.7109375" style="2" customWidth="1"/>
    <col min="6922" max="6922" width="9.140625" style="2"/>
    <col min="6923" max="6923" width="16.42578125" style="2" customWidth="1"/>
    <col min="6924" max="7168" width="9.140625" style="2"/>
    <col min="7169" max="7169" width="44.7109375" style="2" customWidth="1"/>
    <col min="7170" max="7170" width="16.7109375" style="2" customWidth="1"/>
    <col min="7171" max="7177" width="10.7109375" style="2" customWidth="1"/>
    <col min="7178" max="7178" width="9.140625" style="2"/>
    <col min="7179" max="7179" width="16.42578125" style="2" customWidth="1"/>
    <col min="7180" max="7424" width="9.140625" style="2"/>
    <col min="7425" max="7425" width="44.7109375" style="2" customWidth="1"/>
    <col min="7426" max="7426" width="16.7109375" style="2" customWidth="1"/>
    <col min="7427" max="7433" width="10.7109375" style="2" customWidth="1"/>
    <col min="7434" max="7434" width="9.140625" style="2"/>
    <col min="7435" max="7435" width="16.42578125" style="2" customWidth="1"/>
    <col min="7436" max="7680" width="9.140625" style="2"/>
    <col min="7681" max="7681" width="44.7109375" style="2" customWidth="1"/>
    <col min="7682" max="7682" width="16.7109375" style="2" customWidth="1"/>
    <col min="7683" max="7689" width="10.7109375" style="2" customWidth="1"/>
    <col min="7690" max="7690" width="9.140625" style="2"/>
    <col min="7691" max="7691" width="16.42578125" style="2" customWidth="1"/>
    <col min="7692" max="7936" width="9.140625" style="2"/>
    <col min="7937" max="7937" width="44.7109375" style="2" customWidth="1"/>
    <col min="7938" max="7938" width="16.7109375" style="2" customWidth="1"/>
    <col min="7939" max="7945" width="10.7109375" style="2" customWidth="1"/>
    <col min="7946" max="7946" width="9.140625" style="2"/>
    <col min="7947" max="7947" width="16.42578125" style="2" customWidth="1"/>
    <col min="7948" max="8192" width="9.140625" style="2"/>
    <col min="8193" max="8193" width="44.7109375" style="2" customWidth="1"/>
    <col min="8194" max="8194" width="16.7109375" style="2" customWidth="1"/>
    <col min="8195" max="8201" width="10.7109375" style="2" customWidth="1"/>
    <col min="8202" max="8202" width="9.140625" style="2"/>
    <col min="8203" max="8203" width="16.42578125" style="2" customWidth="1"/>
    <col min="8204" max="8448" width="9.140625" style="2"/>
    <col min="8449" max="8449" width="44.7109375" style="2" customWidth="1"/>
    <col min="8450" max="8450" width="16.7109375" style="2" customWidth="1"/>
    <col min="8451" max="8457" width="10.7109375" style="2" customWidth="1"/>
    <col min="8458" max="8458" width="9.140625" style="2"/>
    <col min="8459" max="8459" width="16.42578125" style="2" customWidth="1"/>
    <col min="8460" max="8704" width="9.140625" style="2"/>
    <col min="8705" max="8705" width="44.7109375" style="2" customWidth="1"/>
    <col min="8706" max="8706" width="16.7109375" style="2" customWidth="1"/>
    <col min="8707" max="8713" width="10.7109375" style="2" customWidth="1"/>
    <col min="8714" max="8714" width="9.140625" style="2"/>
    <col min="8715" max="8715" width="16.42578125" style="2" customWidth="1"/>
    <col min="8716" max="8960" width="9.140625" style="2"/>
    <col min="8961" max="8961" width="44.7109375" style="2" customWidth="1"/>
    <col min="8962" max="8962" width="16.7109375" style="2" customWidth="1"/>
    <col min="8963" max="8969" width="10.7109375" style="2" customWidth="1"/>
    <col min="8970" max="8970" width="9.140625" style="2"/>
    <col min="8971" max="8971" width="16.42578125" style="2" customWidth="1"/>
    <col min="8972" max="9216" width="9.140625" style="2"/>
    <col min="9217" max="9217" width="44.7109375" style="2" customWidth="1"/>
    <col min="9218" max="9218" width="16.7109375" style="2" customWidth="1"/>
    <col min="9219" max="9225" width="10.7109375" style="2" customWidth="1"/>
    <col min="9226" max="9226" width="9.140625" style="2"/>
    <col min="9227" max="9227" width="16.42578125" style="2" customWidth="1"/>
    <col min="9228" max="9472" width="9.140625" style="2"/>
    <col min="9473" max="9473" width="44.7109375" style="2" customWidth="1"/>
    <col min="9474" max="9474" width="16.7109375" style="2" customWidth="1"/>
    <col min="9475" max="9481" width="10.7109375" style="2" customWidth="1"/>
    <col min="9482" max="9482" width="9.140625" style="2"/>
    <col min="9483" max="9483" width="16.42578125" style="2" customWidth="1"/>
    <col min="9484" max="9728" width="9.140625" style="2"/>
    <col min="9729" max="9729" width="44.7109375" style="2" customWidth="1"/>
    <col min="9730" max="9730" width="16.7109375" style="2" customWidth="1"/>
    <col min="9731" max="9737" width="10.7109375" style="2" customWidth="1"/>
    <col min="9738" max="9738" width="9.140625" style="2"/>
    <col min="9739" max="9739" width="16.42578125" style="2" customWidth="1"/>
    <col min="9740" max="9984" width="9.140625" style="2"/>
    <col min="9985" max="9985" width="44.7109375" style="2" customWidth="1"/>
    <col min="9986" max="9986" width="16.7109375" style="2" customWidth="1"/>
    <col min="9987" max="9993" width="10.7109375" style="2" customWidth="1"/>
    <col min="9994" max="9994" width="9.140625" style="2"/>
    <col min="9995" max="9995" width="16.42578125" style="2" customWidth="1"/>
    <col min="9996" max="10240" width="9.140625" style="2"/>
    <col min="10241" max="10241" width="44.7109375" style="2" customWidth="1"/>
    <col min="10242" max="10242" width="16.7109375" style="2" customWidth="1"/>
    <col min="10243" max="10249" width="10.7109375" style="2" customWidth="1"/>
    <col min="10250" max="10250" width="9.140625" style="2"/>
    <col min="10251" max="10251" width="16.42578125" style="2" customWidth="1"/>
    <col min="10252" max="10496" width="9.140625" style="2"/>
    <col min="10497" max="10497" width="44.7109375" style="2" customWidth="1"/>
    <col min="10498" max="10498" width="16.7109375" style="2" customWidth="1"/>
    <col min="10499" max="10505" width="10.7109375" style="2" customWidth="1"/>
    <col min="10506" max="10506" width="9.140625" style="2"/>
    <col min="10507" max="10507" width="16.42578125" style="2" customWidth="1"/>
    <col min="10508" max="10752" width="9.140625" style="2"/>
    <col min="10753" max="10753" width="44.7109375" style="2" customWidth="1"/>
    <col min="10754" max="10754" width="16.7109375" style="2" customWidth="1"/>
    <col min="10755" max="10761" width="10.7109375" style="2" customWidth="1"/>
    <col min="10762" max="10762" width="9.140625" style="2"/>
    <col min="10763" max="10763" width="16.42578125" style="2" customWidth="1"/>
    <col min="10764" max="11008" width="9.140625" style="2"/>
    <col min="11009" max="11009" width="44.7109375" style="2" customWidth="1"/>
    <col min="11010" max="11010" width="16.7109375" style="2" customWidth="1"/>
    <col min="11011" max="11017" width="10.7109375" style="2" customWidth="1"/>
    <col min="11018" max="11018" width="9.140625" style="2"/>
    <col min="11019" max="11019" width="16.42578125" style="2" customWidth="1"/>
    <col min="11020" max="11264" width="9.140625" style="2"/>
    <col min="11265" max="11265" width="44.7109375" style="2" customWidth="1"/>
    <col min="11266" max="11266" width="16.7109375" style="2" customWidth="1"/>
    <col min="11267" max="11273" width="10.7109375" style="2" customWidth="1"/>
    <col min="11274" max="11274" width="9.140625" style="2"/>
    <col min="11275" max="11275" width="16.42578125" style="2" customWidth="1"/>
    <col min="11276" max="11520" width="9.140625" style="2"/>
    <col min="11521" max="11521" width="44.7109375" style="2" customWidth="1"/>
    <col min="11522" max="11522" width="16.7109375" style="2" customWidth="1"/>
    <col min="11523" max="11529" width="10.7109375" style="2" customWidth="1"/>
    <col min="11530" max="11530" width="9.140625" style="2"/>
    <col min="11531" max="11531" width="16.42578125" style="2" customWidth="1"/>
    <col min="11532" max="11776" width="9.140625" style="2"/>
    <col min="11777" max="11777" width="44.7109375" style="2" customWidth="1"/>
    <col min="11778" max="11778" width="16.7109375" style="2" customWidth="1"/>
    <col min="11779" max="11785" width="10.7109375" style="2" customWidth="1"/>
    <col min="11786" max="11786" width="9.140625" style="2"/>
    <col min="11787" max="11787" width="16.42578125" style="2" customWidth="1"/>
    <col min="11788" max="12032" width="9.140625" style="2"/>
    <col min="12033" max="12033" width="44.7109375" style="2" customWidth="1"/>
    <col min="12034" max="12034" width="16.7109375" style="2" customWidth="1"/>
    <col min="12035" max="12041" width="10.7109375" style="2" customWidth="1"/>
    <col min="12042" max="12042" width="9.140625" style="2"/>
    <col min="12043" max="12043" width="16.42578125" style="2" customWidth="1"/>
    <col min="12044" max="12288" width="9.140625" style="2"/>
    <col min="12289" max="12289" width="44.7109375" style="2" customWidth="1"/>
    <col min="12290" max="12290" width="16.7109375" style="2" customWidth="1"/>
    <col min="12291" max="12297" width="10.7109375" style="2" customWidth="1"/>
    <col min="12298" max="12298" width="9.140625" style="2"/>
    <col min="12299" max="12299" width="16.42578125" style="2" customWidth="1"/>
    <col min="12300" max="12544" width="9.140625" style="2"/>
    <col min="12545" max="12545" width="44.7109375" style="2" customWidth="1"/>
    <col min="12546" max="12546" width="16.7109375" style="2" customWidth="1"/>
    <col min="12547" max="12553" width="10.7109375" style="2" customWidth="1"/>
    <col min="12554" max="12554" width="9.140625" style="2"/>
    <col min="12555" max="12555" width="16.42578125" style="2" customWidth="1"/>
    <col min="12556" max="12800" width="9.140625" style="2"/>
    <col min="12801" max="12801" width="44.7109375" style="2" customWidth="1"/>
    <col min="12802" max="12802" width="16.7109375" style="2" customWidth="1"/>
    <col min="12803" max="12809" width="10.7109375" style="2" customWidth="1"/>
    <col min="12810" max="12810" width="9.140625" style="2"/>
    <col min="12811" max="12811" width="16.42578125" style="2" customWidth="1"/>
    <col min="12812" max="13056" width="9.140625" style="2"/>
    <col min="13057" max="13057" width="44.7109375" style="2" customWidth="1"/>
    <col min="13058" max="13058" width="16.7109375" style="2" customWidth="1"/>
    <col min="13059" max="13065" width="10.7109375" style="2" customWidth="1"/>
    <col min="13066" max="13066" width="9.140625" style="2"/>
    <col min="13067" max="13067" width="16.42578125" style="2" customWidth="1"/>
    <col min="13068" max="13312" width="9.140625" style="2"/>
    <col min="13313" max="13313" width="44.7109375" style="2" customWidth="1"/>
    <col min="13314" max="13314" width="16.7109375" style="2" customWidth="1"/>
    <col min="13315" max="13321" width="10.7109375" style="2" customWidth="1"/>
    <col min="13322" max="13322" width="9.140625" style="2"/>
    <col min="13323" max="13323" width="16.42578125" style="2" customWidth="1"/>
    <col min="13324" max="13568" width="9.140625" style="2"/>
    <col min="13569" max="13569" width="44.7109375" style="2" customWidth="1"/>
    <col min="13570" max="13570" width="16.7109375" style="2" customWidth="1"/>
    <col min="13571" max="13577" width="10.7109375" style="2" customWidth="1"/>
    <col min="13578" max="13578" width="9.140625" style="2"/>
    <col min="13579" max="13579" width="16.42578125" style="2" customWidth="1"/>
    <col min="13580" max="13824" width="9.140625" style="2"/>
    <col min="13825" max="13825" width="44.7109375" style="2" customWidth="1"/>
    <col min="13826" max="13826" width="16.7109375" style="2" customWidth="1"/>
    <col min="13827" max="13833" width="10.7109375" style="2" customWidth="1"/>
    <col min="13834" max="13834" width="9.140625" style="2"/>
    <col min="13835" max="13835" width="16.42578125" style="2" customWidth="1"/>
    <col min="13836" max="14080" width="9.140625" style="2"/>
    <col min="14081" max="14081" width="44.7109375" style="2" customWidth="1"/>
    <col min="14082" max="14082" width="16.7109375" style="2" customWidth="1"/>
    <col min="14083" max="14089" width="10.7109375" style="2" customWidth="1"/>
    <col min="14090" max="14090" width="9.140625" style="2"/>
    <col min="14091" max="14091" width="16.42578125" style="2" customWidth="1"/>
    <col min="14092" max="14336" width="9.140625" style="2"/>
    <col min="14337" max="14337" width="44.7109375" style="2" customWidth="1"/>
    <col min="14338" max="14338" width="16.7109375" style="2" customWidth="1"/>
    <col min="14339" max="14345" width="10.7109375" style="2" customWidth="1"/>
    <col min="14346" max="14346" width="9.140625" style="2"/>
    <col min="14347" max="14347" width="16.42578125" style="2" customWidth="1"/>
    <col min="14348" max="14592" width="9.140625" style="2"/>
    <col min="14593" max="14593" width="44.7109375" style="2" customWidth="1"/>
    <col min="14594" max="14594" width="16.7109375" style="2" customWidth="1"/>
    <col min="14595" max="14601" width="10.7109375" style="2" customWidth="1"/>
    <col min="14602" max="14602" width="9.140625" style="2"/>
    <col min="14603" max="14603" width="16.42578125" style="2" customWidth="1"/>
    <col min="14604" max="14848" width="9.140625" style="2"/>
    <col min="14849" max="14849" width="44.7109375" style="2" customWidth="1"/>
    <col min="14850" max="14850" width="16.7109375" style="2" customWidth="1"/>
    <col min="14851" max="14857" width="10.7109375" style="2" customWidth="1"/>
    <col min="14858" max="14858" width="9.140625" style="2"/>
    <col min="14859" max="14859" width="16.42578125" style="2" customWidth="1"/>
    <col min="14860" max="15104" width="9.140625" style="2"/>
    <col min="15105" max="15105" width="44.7109375" style="2" customWidth="1"/>
    <col min="15106" max="15106" width="16.7109375" style="2" customWidth="1"/>
    <col min="15107" max="15113" width="10.7109375" style="2" customWidth="1"/>
    <col min="15114" max="15114" width="9.140625" style="2"/>
    <col min="15115" max="15115" width="16.42578125" style="2" customWidth="1"/>
    <col min="15116" max="15360" width="9.140625" style="2"/>
    <col min="15361" max="15361" width="44.7109375" style="2" customWidth="1"/>
    <col min="15362" max="15362" width="16.7109375" style="2" customWidth="1"/>
    <col min="15363" max="15369" width="10.7109375" style="2" customWidth="1"/>
    <col min="15370" max="15370" width="9.140625" style="2"/>
    <col min="15371" max="15371" width="16.42578125" style="2" customWidth="1"/>
    <col min="15372" max="15616" width="9.140625" style="2"/>
    <col min="15617" max="15617" width="44.7109375" style="2" customWidth="1"/>
    <col min="15618" max="15618" width="16.7109375" style="2" customWidth="1"/>
    <col min="15619" max="15625" width="10.7109375" style="2" customWidth="1"/>
    <col min="15626" max="15626" width="9.140625" style="2"/>
    <col min="15627" max="15627" width="16.42578125" style="2" customWidth="1"/>
    <col min="15628" max="15872" width="9.140625" style="2"/>
    <col min="15873" max="15873" width="44.7109375" style="2" customWidth="1"/>
    <col min="15874" max="15874" width="16.7109375" style="2" customWidth="1"/>
    <col min="15875" max="15881" width="10.7109375" style="2" customWidth="1"/>
    <col min="15882" max="15882" width="9.140625" style="2"/>
    <col min="15883" max="15883" width="16.42578125" style="2" customWidth="1"/>
    <col min="15884" max="16128" width="9.140625" style="2"/>
    <col min="16129" max="16129" width="44.7109375" style="2" customWidth="1"/>
    <col min="16130" max="16130" width="16.7109375" style="2" customWidth="1"/>
    <col min="16131" max="16137" width="10.7109375" style="2" customWidth="1"/>
    <col min="16138" max="16138" width="9.140625" style="2"/>
    <col min="16139" max="16139" width="16.42578125" style="2" customWidth="1"/>
    <col min="16140" max="16384" width="9.140625" style="2"/>
  </cols>
  <sheetData>
    <row r="1" spans="1:14" ht="13.5">
      <c r="A1"/>
      <c r="B1"/>
      <c r="C1"/>
      <c r="D1"/>
      <c r="E1"/>
      <c r="F1"/>
      <c r="G1"/>
      <c r="H1" s="50"/>
      <c r="I1" s="51" t="s">
        <v>344</v>
      </c>
      <c r="J1" s="55"/>
      <c r="K1" s="3"/>
      <c r="L1" s="3"/>
      <c r="M1" s="3"/>
    </row>
    <row r="2" spans="1:14" s="56" customFormat="1" ht="36.75" customHeight="1">
      <c r="A2" s="3587" t="s">
        <v>819</v>
      </c>
      <c r="B2" s="3587"/>
      <c r="C2" s="3587"/>
      <c r="D2" s="3587"/>
      <c r="E2" s="3587"/>
      <c r="F2" s="3587"/>
      <c r="G2" s="3587"/>
      <c r="H2" s="3587"/>
      <c r="I2" s="3587"/>
      <c r="J2" s="156"/>
      <c r="K2" s="4"/>
      <c r="L2" s="3"/>
      <c r="M2" s="3"/>
    </row>
    <row r="3" spans="1:14" s="232" customFormat="1" ht="18.75">
      <c r="A3" s="3586" t="str">
        <f>'1. Анкетна карта'!A3:J3</f>
        <v>на "Водоснабдяване и канализация" ООД , гр. Враца</v>
      </c>
      <c r="B3" s="3586"/>
      <c r="C3" s="3586"/>
      <c r="D3" s="3586"/>
      <c r="E3" s="3586"/>
      <c r="F3" s="3586"/>
      <c r="G3" s="3586"/>
      <c r="H3" s="3586"/>
      <c r="I3" s="3586"/>
      <c r="J3" s="158"/>
      <c r="K3" s="239"/>
      <c r="L3" s="240"/>
      <c r="M3" s="240"/>
    </row>
    <row r="4" spans="1:14" s="232" customFormat="1" ht="18.75">
      <c r="A4" s="3586" t="str">
        <f>'1. Анкетна карта'!A4:J4</f>
        <v>ЕИК по БУЛСТАТ: 816090199</v>
      </c>
      <c r="B4" s="3586"/>
      <c r="C4" s="3586"/>
      <c r="D4" s="3586"/>
      <c r="E4" s="3586"/>
      <c r="F4" s="3586"/>
      <c r="G4" s="3586"/>
      <c r="H4" s="3586"/>
      <c r="I4" s="3586"/>
      <c r="J4" s="158"/>
      <c r="K4" s="239"/>
      <c r="L4" s="240"/>
      <c r="M4" s="240"/>
      <c r="N4" s="387"/>
    </row>
    <row r="5" spans="1:14" ht="12" customHeight="1" thickBot="1">
      <c r="A5" s="58"/>
      <c r="B5" s="59"/>
      <c r="C5" s="59"/>
      <c r="D5" s="59"/>
      <c r="E5" s="59"/>
      <c r="F5" s="59"/>
      <c r="G5" s="59"/>
      <c r="H5" s="59"/>
      <c r="I5" s="59"/>
      <c r="J5" s="60"/>
      <c r="K5" s="4"/>
      <c r="L5" s="3"/>
      <c r="M5" s="3"/>
    </row>
    <row r="6" spans="1:14" ht="13.5" thickBot="1">
      <c r="A6" s="1613" t="s">
        <v>345</v>
      </c>
      <c r="B6" s="116" t="s">
        <v>346</v>
      </c>
      <c r="C6" s="1613" t="s">
        <v>252</v>
      </c>
      <c r="D6" s="1615" t="s">
        <v>253</v>
      </c>
      <c r="E6" s="1616"/>
      <c r="F6" s="1616"/>
      <c r="G6" s="1616"/>
      <c r="H6" s="1616"/>
      <c r="I6" s="1617"/>
      <c r="J6" s="60"/>
      <c r="K6" s="4"/>
      <c r="L6"/>
      <c r="M6"/>
    </row>
    <row r="7" spans="1:14" ht="13.5" thickBot="1">
      <c r="A7" s="1614"/>
      <c r="B7" s="2470"/>
      <c r="C7" s="2153" t="str">
        <f>'Приложение '!$G12</f>
        <v>2015 г.</v>
      </c>
      <c r="D7" s="2153" t="str">
        <f>'Приложение '!$G13</f>
        <v>2016 г.</v>
      </c>
      <c r="E7" s="1861" t="str">
        <f>'Приложение '!$G14</f>
        <v>2017 г.</v>
      </c>
      <c r="F7" s="1860" t="str">
        <f>'Приложение '!$G15</f>
        <v>2018 г.</v>
      </c>
      <c r="G7" s="1861" t="str">
        <f>'Приложение '!$G16</f>
        <v>2019 г.</v>
      </c>
      <c r="H7" s="1860" t="str">
        <f>'Приложение '!$G17</f>
        <v>2020 г.</v>
      </c>
      <c r="I7" s="1862" t="str">
        <f>'Приложение '!$G18</f>
        <v>2021 г.</v>
      </c>
      <c r="J7" s="61"/>
      <c r="K7" s="4"/>
      <c r="L7"/>
      <c r="M7"/>
    </row>
    <row r="8" spans="1:14" ht="15" customHeight="1">
      <c r="A8" s="1853" t="s">
        <v>347</v>
      </c>
      <c r="B8" s="62" t="s">
        <v>348</v>
      </c>
      <c r="C8" s="3133">
        <v>1.43</v>
      </c>
      <c r="D8" s="3134">
        <v>1.43</v>
      </c>
      <c r="E8" s="2471">
        <f>'20.Цени за дост.,отв. и преч.'!D9</f>
        <v>1.7457508269906341</v>
      </c>
      <c r="F8" s="2471">
        <f>'20.Цени за дост.,отв. и преч.'!E9</f>
        <v>1.7695656683081928</v>
      </c>
      <c r="G8" s="2471">
        <f>'20.Цени за дост.,отв. и преч.'!F9</f>
        <v>1.7675106395082014</v>
      </c>
      <c r="H8" s="2471">
        <f>'20.Цени за дост.,отв. и преч.'!G9</f>
        <v>1.8103095778643175</v>
      </c>
      <c r="I8" s="2472">
        <f>'20.Цени за дост.,отв. и преч.'!H9</f>
        <v>1.9713417358784719</v>
      </c>
      <c r="J8" s="61"/>
      <c r="K8" s="4"/>
      <c r="L8"/>
      <c r="M8"/>
    </row>
    <row r="9" spans="1:14" ht="15" customHeight="1">
      <c r="A9" s="1854" t="s">
        <v>349</v>
      </c>
      <c r="B9" s="63" t="s">
        <v>348</v>
      </c>
      <c r="C9" s="3133">
        <v>0.21</v>
      </c>
      <c r="D9" s="3134">
        <v>0.21</v>
      </c>
      <c r="E9" s="2473">
        <f>'20.Цени за дост.,отв. и преч.'!I9</f>
        <v>0.25228420271506036</v>
      </c>
      <c r="F9" s="2473">
        <f>'20.Цени за дост.,отв. и преч.'!J9</f>
        <v>0.26016867642665475</v>
      </c>
      <c r="G9" s="2473">
        <f>'20.Цени за дост.,отв. и преч.'!K9</f>
        <v>0.27435394597209506</v>
      </c>
      <c r="H9" s="2473">
        <f>'20.Цени за дост.,отв. и преч.'!L9</f>
        <v>0.26879924418669293</v>
      </c>
      <c r="I9" s="2474">
        <f>'20.Цени за дост.,отв. и преч.'!M9</f>
        <v>0.26892435564723038</v>
      </c>
      <c r="J9" s="61"/>
      <c r="K9" s="4"/>
      <c r="L9"/>
      <c r="M9"/>
    </row>
    <row r="10" spans="1:14" ht="15" customHeight="1">
      <c r="A10" s="1854" t="s">
        <v>350</v>
      </c>
      <c r="B10" s="63" t="s">
        <v>348</v>
      </c>
      <c r="C10" s="3133">
        <v>0.28000000000000003</v>
      </c>
      <c r="D10" s="3134">
        <v>0.28000000000000003</v>
      </c>
      <c r="E10" s="2473">
        <f>'20.Цени за дост.,отв. и преч.'!N9</f>
        <v>0.47870031848251077</v>
      </c>
      <c r="F10" s="2473">
        <f>'20.Цени за дост.,отв. и преч.'!O9</f>
        <v>0.47925714628006832</v>
      </c>
      <c r="G10" s="2473">
        <f>'20.Цени за дост.,отв. и преч.'!P9</f>
        <v>0.50853477625415866</v>
      </c>
      <c r="H10" s="2473">
        <f>'20.Цени за дост.,отв. и преч.'!Q9</f>
        <v>0.53691267470364112</v>
      </c>
      <c r="I10" s="2474">
        <f>'20.Цени за дост.,отв. и преч.'!R9</f>
        <v>0.53938787189645854</v>
      </c>
      <c r="J10" s="64"/>
      <c r="K10" s="4"/>
      <c r="L10" s="3"/>
      <c r="M10"/>
    </row>
    <row r="11" spans="1:14" ht="15" customHeight="1">
      <c r="A11" s="1856" t="s">
        <v>254</v>
      </c>
      <c r="B11" s="65" t="s">
        <v>351</v>
      </c>
      <c r="C11" s="2917">
        <f t="shared" ref="C11:I11" si="0">SUM(C8:C10)*1.2</f>
        <v>2.3039999999999998</v>
      </c>
      <c r="D11" s="2917">
        <f t="shared" si="0"/>
        <v>2.3039999999999998</v>
      </c>
      <c r="E11" s="2475">
        <f t="shared" si="0"/>
        <v>2.9720824178258467</v>
      </c>
      <c r="F11" s="2475">
        <f t="shared" si="0"/>
        <v>3.010789789217899</v>
      </c>
      <c r="G11" s="2475">
        <f t="shared" si="0"/>
        <v>3.0604792340813463</v>
      </c>
      <c r="H11" s="2475">
        <f t="shared" si="0"/>
        <v>3.1392257961055816</v>
      </c>
      <c r="I11" s="2476">
        <f t="shared" si="0"/>
        <v>3.3355847561065928</v>
      </c>
      <c r="J11" s="64"/>
      <c r="K11" s="4"/>
      <c r="L11" s="3"/>
      <c r="M11"/>
    </row>
    <row r="12" spans="1:14" ht="15" customHeight="1">
      <c r="A12" s="1854" t="s">
        <v>352</v>
      </c>
      <c r="B12" s="63" t="s">
        <v>353</v>
      </c>
      <c r="C12" s="2918">
        <v>2.8</v>
      </c>
      <c r="D12" s="2918">
        <v>2.8</v>
      </c>
      <c r="E12" s="2473">
        <v>2.8</v>
      </c>
      <c r="F12" s="2477">
        <v>2.8</v>
      </c>
      <c r="G12" s="2473">
        <v>2.8</v>
      </c>
      <c r="H12" s="2477">
        <v>2.8</v>
      </c>
      <c r="I12" s="2474">
        <v>2.8</v>
      </c>
      <c r="J12" s="64"/>
      <c r="K12" s="4"/>
      <c r="L12" s="3"/>
      <c r="M12"/>
    </row>
    <row r="13" spans="1:14" ht="15" customHeight="1">
      <c r="A13" s="1854" t="s">
        <v>488</v>
      </c>
      <c r="B13" s="63" t="s">
        <v>354</v>
      </c>
      <c r="C13" s="2919">
        <f t="shared" ref="C13:I13" si="1">C11*C12</f>
        <v>6.4511999999999992</v>
      </c>
      <c r="D13" s="2919">
        <f t="shared" si="1"/>
        <v>6.4511999999999992</v>
      </c>
      <c r="E13" s="2478">
        <f t="shared" si="1"/>
        <v>8.3218307699123706</v>
      </c>
      <c r="F13" s="2479">
        <f t="shared" si="1"/>
        <v>8.4302114098101164</v>
      </c>
      <c r="G13" s="2478">
        <f t="shared" si="1"/>
        <v>8.5693418554277692</v>
      </c>
      <c r="H13" s="2478">
        <f t="shared" si="1"/>
        <v>8.7898322290956283</v>
      </c>
      <c r="I13" s="2480">
        <f t="shared" si="1"/>
        <v>9.3396373170984592</v>
      </c>
      <c r="J13" s="64"/>
      <c r="K13" s="4"/>
      <c r="L13" s="3"/>
      <c r="M13"/>
    </row>
    <row r="14" spans="1:14" ht="15" customHeight="1">
      <c r="A14" s="1857" t="s">
        <v>355</v>
      </c>
      <c r="B14" s="63" t="s">
        <v>356</v>
      </c>
      <c r="C14" s="2246">
        <v>366</v>
      </c>
      <c r="D14" s="2918">
        <f>C14*(1+D15)</f>
        <v>375.51600000000002</v>
      </c>
      <c r="E14" s="2473">
        <f t="shared" ref="E14:I14" si="2">D14*(1+E15)</f>
        <v>388.28354400000001</v>
      </c>
      <c r="F14" s="2477">
        <f t="shared" si="2"/>
        <v>401.48518449600004</v>
      </c>
      <c r="G14" s="2473">
        <f t="shared" si="2"/>
        <v>415.13568076886406</v>
      </c>
      <c r="H14" s="2477">
        <f t="shared" si="2"/>
        <v>429.25029391500544</v>
      </c>
      <c r="I14" s="2481">
        <f t="shared" si="2"/>
        <v>443.84480390811564</v>
      </c>
      <c r="J14" s="64"/>
      <c r="K14" s="4"/>
      <c r="L14" s="3"/>
      <c r="M14"/>
    </row>
    <row r="15" spans="1:14" ht="24">
      <c r="A15" s="1858" t="s">
        <v>818</v>
      </c>
      <c r="B15" s="444" t="s">
        <v>226</v>
      </c>
      <c r="C15" s="1859"/>
      <c r="D15" s="2920">
        <v>2.5999999999999999E-2</v>
      </c>
      <c r="E15" s="2482">
        <v>3.4000000000000002E-2</v>
      </c>
      <c r="F15" s="2483">
        <v>3.4000000000000002E-2</v>
      </c>
      <c r="G15" s="2482">
        <v>3.4000000000000002E-2</v>
      </c>
      <c r="H15" s="2482">
        <v>3.4000000000000002E-2</v>
      </c>
      <c r="I15" s="2484">
        <v>3.4000000000000002E-2</v>
      </c>
      <c r="J15" s="64"/>
      <c r="K15" s="4"/>
      <c r="L15" s="3"/>
      <c r="M15"/>
    </row>
    <row r="16" spans="1:14" ht="15" customHeight="1" thickBot="1">
      <c r="A16" s="1858" t="s">
        <v>1009</v>
      </c>
      <c r="B16" s="66" t="s">
        <v>354</v>
      </c>
      <c r="C16" s="2921">
        <f>C14*2.5%</f>
        <v>9.15</v>
      </c>
      <c r="D16" s="2921">
        <f>D14*2.5%</f>
        <v>9.3879000000000001</v>
      </c>
      <c r="E16" s="2485">
        <f t="shared" ref="E16:I16" si="3">E14*2.5%</f>
        <v>9.7070886000000005</v>
      </c>
      <c r="F16" s="2486">
        <f t="shared" si="3"/>
        <v>10.037129612400001</v>
      </c>
      <c r="G16" s="2485">
        <f t="shared" si="3"/>
        <v>10.378392019221602</v>
      </c>
      <c r="H16" s="2485">
        <f t="shared" si="3"/>
        <v>10.731257347875136</v>
      </c>
      <c r="I16" s="2487">
        <f t="shared" si="3"/>
        <v>11.096120097702892</v>
      </c>
      <c r="J16" s="67"/>
      <c r="K16" s="4"/>
      <c r="L16" s="3"/>
      <c r="M16"/>
    </row>
    <row r="17" spans="1:13" ht="20.25" customHeight="1" thickBot="1">
      <c r="A17" s="1855" t="s">
        <v>357</v>
      </c>
      <c r="B17" s="68" t="s">
        <v>358</v>
      </c>
      <c r="C17" s="2922">
        <f>C16/C12</f>
        <v>3.2678571428571432</v>
      </c>
      <c r="D17" s="2922">
        <f t="shared" ref="D17:I17" si="4">D16/D12</f>
        <v>3.3528214285714286</v>
      </c>
      <c r="E17" s="2488">
        <f t="shared" si="4"/>
        <v>3.4668173571428573</v>
      </c>
      <c r="F17" s="2489">
        <f t="shared" si="4"/>
        <v>3.5846891472857147</v>
      </c>
      <c r="G17" s="2488">
        <f t="shared" si="4"/>
        <v>3.7065685782934295</v>
      </c>
      <c r="H17" s="2488">
        <f t="shared" si="4"/>
        <v>3.832591909955406</v>
      </c>
      <c r="I17" s="2490">
        <f t="shared" si="4"/>
        <v>3.9629000348938903</v>
      </c>
      <c r="K17" s="4"/>
      <c r="L17" s="3"/>
      <c r="M17"/>
    </row>
    <row r="18" spans="1:13" ht="13.5" thickBot="1">
      <c r="A18"/>
      <c r="B18" s="1851"/>
      <c r="C18" s="1851"/>
      <c r="D18" s="1851"/>
      <c r="E18" s="1851"/>
      <c r="F18" s="1851"/>
      <c r="G18" s="1851"/>
      <c r="H18" s="1851"/>
      <c r="I18" s="1851"/>
      <c r="J18" s="52"/>
      <c r="K18" s="4"/>
      <c r="L18" s="3"/>
      <c r="M18"/>
    </row>
    <row r="19" spans="1:13" ht="27" customHeight="1" thickBot="1">
      <c r="A19" s="1855" t="s">
        <v>357</v>
      </c>
      <c r="B19" s="130" t="s">
        <v>226</v>
      </c>
      <c r="C19" s="2923">
        <f>C13/C14</f>
        <v>1.7626229508196718E-2</v>
      </c>
      <c r="D19" s="2924">
        <f t="shared" ref="D19:I19" si="5">D13/D14</f>
        <v>1.7179560924168343E-2</v>
      </c>
      <c r="E19" s="2925">
        <f t="shared" si="5"/>
        <v>2.1432355036690328E-2</v>
      </c>
      <c r="F19" s="2926">
        <f t="shared" si="5"/>
        <v>2.0997565378141882E-2</v>
      </c>
      <c r="G19" s="2925">
        <f t="shared" si="5"/>
        <v>2.0642267702830727E-2</v>
      </c>
      <c r="H19" s="2925">
        <f t="shared" si="5"/>
        <v>2.0477172301799462E-2</v>
      </c>
      <c r="I19" s="2927">
        <f t="shared" si="5"/>
        <v>2.1042574419845958E-2</v>
      </c>
      <c r="J19" s="52"/>
      <c r="K19" s="4"/>
      <c r="L19" s="3"/>
      <c r="M19"/>
    </row>
    <row r="20" spans="1:13">
      <c r="A20"/>
      <c r="B20"/>
      <c r="C20"/>
      <c r="D20"/>
      <c r="E20"/>
      <c r="F20"/>
      <c r="G20"/>
      <c r="H20"/>
      <c r="I20"/>
      <c r="J20" s="52"/>
      <c r="K20" s="4"/>
      <c r="L20" s="3"/>
      <c r="M20"/>
    </row>
    <row r="21" spans="1:13" ht="15">
      <c r="A21"/>
      <c r="B21"/>
      <c r="C21"/>
      <c r="D21"/>
      <c r="E21" s="367"/>
      <c r="F21" s="385"/>
      <c r="G21" s="367"/>
      <c r="H21" s="385"/>
      <c r="I21" s="367"/>
      <c r="K21" s="4"/>
      <c r="L21" s="3"/>
      <c r="M21"/>
    </row>
    <row r="22" spans="1:13">
      <c r="A22"/>
      <c r="B22"/>
      <c r="C22"/>
      <c r="D22"/>
      <c r="E22" s="292" t="str">
        <f>'12.1.Разходи-увелич.и нам.'!AE118</f>
        <v>Главен счетоводител:</v>
      </c>
      <c r="F22" s="289"/>
      <c r="G22" s="219" t="s">
        <v>262</v>
      </c>
      <c r="H22" s="199"/>
      <c r="I22" s="217"/>
      <c r="K22" s="4"/>
      <c r="L22" s="3"/>
      <c r="M22"/>
    </row>
    <row r="23" spans="1:13">
      <c r="A23" s="20" t="str">
        <f>'12.1.Разходи-увелич.и нам.'!B116</f>
        <v>Дата: 27.06.2016г.</v>
      </c>
      <c r="B23" s="23"/>
      <c r="C23" s="23"/>
      <c r="D23" s="23"/>
      <c r="E23" s="288"/>
      <c r="F23" s="220"/>
      <c r="G23" s="290"/>
      <c r="H23" s="291" t="s">
        <v>5</v>
      </c>
      <c r="I23" s="217"/>
      <c r="K23" s="4"/>
      <c r="L23" s="3"/>
      <c r="M23"/>
    </row>
    <row r="24" spans="1:13">
      <c r="A24" s="19"/>
      <c r="B24" s="19"/>
      <c r="C24" s="19"/>
      <c r="D24" s="18"/>
      <c r="E24" s="288"/>
      <c r="F24" s="220"/>
      <c r="G24" s="290"/>
      <c r="H24" s="291"/>
      <c r="I24" s="217"/>
      <c r="K24" s="41"/>
      <c r="L24" s="3"/>
      <c r="M24"/>
    </row>
    <row r="25" spans="1:13">
      <c r="A25" s="23"/>
      <c r="B25" s="23"/>
      <c r="C25" s="23"/>
      <c r="D25" s="22"/>
      <c r="E25" s="288"/>
      <c r="F25" s="220"/>
      <c r="G25" s="290"/>
      <c r="H25" s="291"/>
      <c r="I25" s="217"/>
      <c r="K25" s="41"/>
      <c r="L25" s="3"/>
      <c r="M25"/>
    </row>
    <row r="26" spans="1:13">
      <c r="A26" s="23"/>
      <c r="B26" s="23"/>
      <c r="C26" s="23"/>
      <c r="D26" s="18"/>
      <c r="E26" s="288"/>
      <c r="F26" s="220"/>
      <c r="G26" s="290"/>
      <c r="H26" s="291"/>
      <c r="I26" s="217"/>
      <c r="K26" s="4"/>
      <c r="L26" s="3"/>
      <c r="M26"/>
    </row>
    <row r="27" spans="1:13" ht="15">
      <c r="A27" s="23"/>
      <c r="B27" s="23"/>
      <c r="C27" s="23"/>
      <c r="D27" s="24"/>
      <c r="E27" s="352"/>
      <c r="F27" s="292" t="str">
        <f>'12.1.Разходи-увелич.и нам.'!AF124</f>
        <v>Управител:</v>
      </c>
      <c r="G27" s="219" t="s">
        <v>262</v>
      </c>
      <c r="H27" s="217"/>
      <c r="I27" s="217"/>
      <c r="K27" s="4"/>
      <c r="L27" s="3"/>
      <c r="M27"/>
    </row>
    <row r="28" spans="1:13">
      <c r="A28" s="23"/>
      <c r="B28" s="23"/>
      <c r="C28" s="23"/>
      <c r="D28" s="22"/>
      <c r="E28" s="288"/>
      <c r="F28" s="293"/>
      <c r="G28" s="290"/>
      <c r="H28" s="291" t="s">
        <v>6</v>
      </c>
      <c r="I28" s="290"/>
      <c r="K28" s="4"/>
      <c r="L28" s="3"/>
      <c r="M28"/>
    </row>
    <row r="29" spans="1:13">
      <c r="A29" s="3588" t="s">
        <v>247</v>
      </c>
      <c r="B29" s="3588"/>
      <c r="C29" s="3588"/>
      <c r="D29" s="3588"/>
      <c r="E29" s="47"/>
      <c r="F29" s="47"/>
      <c r="G29" s="47"/>
      <c r="H29" s="47"/>
      <c r="K29" s="4"/>
      <c r="L29" s="3"/>
      <c r="M29"/>
    </row>
    <row r="30" spans="1:13">
      <c r="A30" s="3589" t="s">
        <v>248</v>
      </c>
      <c r="B30" s="3589"/>
      <c r="C30" s="3589"/>
      <c r="D30" s="3589"/>
      <c r="E30" s="47"/>
      <c r="F30" s="47"/>
      <c r="G30" s="47"/>
      <c r="H30" s="47"/>
      <c r="K30" s="42"/>
      <c r="L30"/>
      <c r="M30"/>
    </row>
    <row r="31" spans="1:13">
      <c r="A31" s="3590" t="s">
        <v>1537</v>
      </c>
      <c r="B31" s="3590"/>
      <c r="C31" s="3590"/>
      <c r="D31" s="3590"/>
      <c r="E31" s="3590"/>
      <c r="F31" s="3590"/>
      <c r="G31" s="3590"/>
      <c r="H31" s="3590"/>
      <c r="K31" s="42"/>
      <c r="L31"/>
      <c r="M31"/>
    </row>
    <row r="32" spans="1:13">
      <c r="K32" s="42"/>
      <c r="L32"/>
      <c r="M32"/>
    </row>
    <row r="33" spans="11:13">
      <c r="K33" s="41"/>
      <c r="L33"/>
      <c r="M33"/>
    </row>
    <row r="34" spans="11:13">
      <c r="K34" s="3"/>
      <c r="L34"/>
      <c r="M34"/>
    </row>
    <row r="40" spans="11:13" ht="11.25" customHeight="1"/>
    <row r="61" spans="8:8">
      <c r="H61" s="2" t="s">
        <v>263</v>
      </c>
    </row>
    <row r="100" spans="11:11">
      <c r="K100" s="69"/>
    </row>
    <row r="101" spans="11:11">
      <c r="K101" s="69"/>
    </row>
    <row r="102" spans="11:11">
      <c r="K102" s="69"/>
    </row>
    <row r="103" spans="11:11">
      <c r="K103" s="69"/>
    </row>
    <row r="104" spans="11:11">
      <c r="K104" s="69"/>
    </row>
    <row r="105" spans="11:11">
      <c r="K105" s="69"/>
    </row>
    <row r="106" spans="11:11">
      <c r="K106" s="69"/>
    </row>
    <row r="107" spans="11:11">
      <c r="K107" s="69"/>
    </row>
    <row r="108" spans="11:11">
      <c r="K108" s="69"/>
    </row>
    <row r="109" spans="11:11">
      <c r="K109" s="69"/>
    </row>
    <row r="110" spans="11:11">
      <c r="K110" s="69"/>
    </row>
    <row r="111" spans="11:11">
      <c r="K111" s="69"/>
    </row>
    <row r="112" spans="11:11">
      <c r="K112" s="69"/>
    </row>
    <row r="113" spans="11:11">
      <c r="K113" s="69"/>
    </row>
    <row r="114" spans="11:11">
      <c r="K114" s="69"/>
    </row>
    <row r="115" spans="11:11">
      <c r="K115" s="69"/>
    </row>
  </sheetData>
  <sheetProtection password="C6DB" sheet="1" objects="1" scenarios="1" formatCells="0" formatColumns="0" formatRows="0"/>
  <mergeCells count="6">
    <mergeCell ref="A2:I2"/>
    <mergeCell ref="A29:D29"/>
    <mergeCell ref="A30:D30"/>
    <mergeCell ref="A31:H31"/>
    <mergeCell ref="A3:I3"/>
    <mergeCell ref="A4:I4"/>
  </mergeCells>
  <conditionalFormatting sqref="C19:I19">
    <cfRule type="cellIs" dxfId="1" priority="1" operator="greaterThan">
      <formula>0.025</formula>
    </cfRule>
  </conditionalFormatting>
  <printOptions horizontalCentered="1"/>
  <pageMargins left="0.70866141732283472" right="0.59055118110236227" top="0.82677165354330717" bottom="0.74803149606299213" header="0.31496062992125984" footer="0.31496062992125984"/>
  <pageSetup paperSize="9" scale="85" orientation="landscape" r:id="rId1"/>
  <ignoredErrors>
    <ignoredError sqref="D14:I14" unlockedFormula="1"/>
    <ignoredError sqref="C19:I19" evalError="1"/>
    <ignoredError sqref="E8:I13" evalError="1" unlockedFormula="1"/>
  </ignoredErrors>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8" tint="0.79998168889431442"/>
  </sheetPr>
  <dimension ref="A1:N58"/>
  <sheetViews>
    <sheetView view="pageBreakPreview" zoomScaleNormal="100" zoomScaleSheetLayoutView="100" workbookViewId="0">
      <pane xSplit="8" ySplit="6" topLeftCell="I7" activePane="bottomRight" state="frozen"/>
      <selection pane="topRight" activeCell="I1" sqref="I1"/>
      <selection pane="bottomLeft" activeCell="A7" sqref="A7"/>
      <selection pane="bottomRight" activeCell="J17" sqref="J17"/>
    </sheetView>
  </sheetViews>
  <sheetFormatPr defaultRowHeight="12.75"/>
  <cols>
    <col min="1" max="1" width="49.140625" style="172" customWidth="1"/>
    <col min="2" max="6" width="9.7109375" style="172" customWidth="1"/>
    <col min="7" max="8" width="9.140625" style="183"/>
    <col min="9" max="16384" width="9.140625" style="133"/>
  </cols>
  <sheetData>
    <row r="1" spans="1:10" ht="13.5">
      <c r="H1" s="51" t="s">
        <v>500</v>
      </c>
    </row>
    <row r="2" spans="1:10" ht="36.75" customHeight="1">
      <c r="A2" s="3420" t="s">
        <v>1418</v>
      </c>
      <c r="B2" s="3420"/>
      <c r="C2" s="3420"/>
      <c r="D2" s="3420"/>
      <c r="E2" s="3420"/>
      <c r="F2" s="3420"/>
      <c r="G2" s="3420"/>
      <c r="H2" s="3420"/>
    </row>
    <row r="3" spans="1:10" ht="15.75">
      <c r="A3" s="3427" t="str">
        <f>'1. Анкетна карта'!A3:J3</f>
        <v>на "Водоснабдяване и канализация" ООД , гр. Враца</v>
      </c>
      <c r="B3" s="3427"/>
      <c r="C3" s="3427"/>
      <c r="D3" s="3427"/>
      <c r="E3" s="3427"/>
      <c r="F3" s="3427"/>
      <c r="G3" s="3427"/>
      <c r="H3" s="3427"/>
    </row>
    <row r="4" spans="1:10" ht="15.75">
      <c r="A4" s="3427" t="str">
        <f>'1. Анкетна карта'!A4:J4</f>
        <v>ЕИК по БУЛСТАТ: 816090199</v>
      </c>
      <c r="B4" s="3427"/>
      <c r="C4" s="3427"/>
      <c r="D4" s="3427"/>
      <c r="E4" s="3427"/>
      <c r="F4" s="3427"/>
      <c r="G4" s="3427"/>
      <c r="H4" s="3427"/>
    </row>
    <row r="5" spans="1:10" ht="13.5" thickBot="1">
      <c r="A5" s="190"/>
      <c r="B5" s="190"/>
      <c r="C5" s="190"/>
      <c r="D5" s="190"/>
      <c r="E5" s="190"/>
      <c r="F5" s="190"/>
      <c r="H5" s="38" t="s">
        <v>250</v>
      </c>
    </row>
    <row r="6" spans="1:10" ht="13.5" thickBot="1">
      <c r="A6" s="2136" t="s">
        <v>681</v>
      </c>
      <c r="B6" s="2137" t="str">
        <f>'Приложение '!$G12</f>
        <v>2015 г.</v>
      </c>
      <c r="C6" s="2138" t="str">
        <f>'Приложение '!$G13</f>
        <v>2016 г.</v>
      </c>
      <c r="D6" s="2139" t="str">
        <f>'Приложение '!$G14</f>
        <v>2017 г.</v>
      </c>
      <c r="E6" s="2140" t="str">
        <f>'Приложение '!$G15</f>
        <v>2018 г.</v>
      </c>
      <c r="F6" s="2140" t="str">
        <f>'Приложение '!$G16</f>
        <v>2019 г.</v>
      </c>
      <c r="G6" s="2140" t="str">
        <f>'Приложение '!$G17</f>
        <v>2020 г.</v>
      </c>
      <c r="H6" s="2141" t="str">
        <f>'Приложение '!$G18</f>
        <v>2021 г.</v>
      </c>
    </row>
    <row r="7" spans="1:10" ht="14.25">
      <c r="A7" s="2130" t="s">
        <v>682</v>
      </c>
      <c r="B7" s="2131">
        <f>B8+B17</f>
        <v>15813</v>
      </c>
      <c r="C7" s="2132">
        <f t="shared" ref="C7:H7" si="0">C8+C17</f>
        <v>18337</v>
      </c>
      <c r="D7" s="2133">
        <f t="shared" si="0"/>
        <v>18956.595290388126</v>
      </c>
      <c r="E7" s="2134">
        <f t="shared" si="0"/>
        <v>19363.67238408676</v>
      </c>
      <c r="F7" s="2134">
        <f t="shared" si="0"/>
        <v>19522.604794999999</v>
      </c>
      <c r="G7" s="2134">
        <f t="shared" si="0"/>
        <v>19523.671462305934</v>
      </c>
      <c r="H7" s="2135">
        <f t="shared" si="0"/>
        <v>20127.072600707761</v>
      </c>
      <c r="I7" s="185"/>
      <c r="J7" s="185"/>
    </row>
    <row r="8" spans="1:10">
      <c r="A8" s="2104" t="s">
        <v>683</v>
      </c>
      <c r="B8" s="2125">
        <f>SUM(B9:B16)</f>
        <v>15739</v>
      </c>
      <c r="C8" s="2119">
        <f t="shared" ref="C8:H8" si="1">SUM(C9:C16)</f>
        <v>18242</v>
      </c>
      <c r="D8" s="2100">
        <f t="shared" si="1"/>
        <v>18920.595290388126</v>
      </c>
      <c r="E8" s="1162">
        <f t="shared" si="1"/>
        <v>19327.67238408676</v>
      </c>
      <c r="F8" s="1162">
        <f t="shared" si="1"/>
        <v>19486.604794999999</v>
      </c>
      <c r="G8" s="1162">
        <f t="shared" si="1"/>
        <v>19487.671462305934</v>
      </c>
      <c r="H8" s="2094">
        <f t="shared" si="1"/>
        <v>20091.072600707761</v>
      </c>
    </row>
    <row r="9" spans="1:10">
      <c r="A9" s="2105" t="s">
        <v>1455</v>
      </c>
      <c r="B9" s="2246">
        <v>13224</v>
      </c>
      <c r="C9" s="2246">
        <v>15259</v>
      </c>
      <c r="D9" s="1465">
        <f>'16. Необходими приходи'!F11+'16. Необходими приходи'!M11+'16. Необходими приходи'!T11</f>
        <v>17021.595290388126</v>
      </c>
      <c r="E9" s="820">
        <f>'16. Необходими приходи'!G11+'16. Необходими приходи'!N11+'16. Необходими приходи'!U11</f>
        <v>17482.67238408676</v>
      </c>
      <c r="F9" s="820">
        <f>'16. Необходими приходи'!H11+'16. Необходими приходи'!O11+'16. Необходими приходи'!V11</f>
        <v>17620.604794999999</v>
      </c>
      <c r="G9" s="820">
        <f>'16. Необходими приходи'!I11+'16. Необходими приходи'!P11+'16. Необходими приходи'!W11</f>
        <v>17601.671462305934</v>
      </c>
      <c r="H9" s="818">
        <f>'16. Необходими приходи'!J11+'16. Необходими приходи'!Q11+'16. Необходими приходи'!X11</f>
        <v>18235.072600707761</v>
      </c>
    </row>
    <row r="10" spans="1:10">
      <c r="A10" s="2105" t="s">
        <v>1456</v>
      </c>
      <c r="B10" s="2246">
        <v>271</v>
      </c>
      <c r="C10" s="2246">
        <v>0</v>
      </c>
      <c r="D10" s="2243">
        <v>0</v>
      </c>
      <c r="E10" s="2243">
        <v>0</v>
      </c>
      <c r="F10" s="2243">
        <v>0</v>
      </c>
      <c r="G10" s="2243">
        <v>0</v>
      </c>
      <c r="H10" s="2243">
        <v>0</v>
      </c>
    </row>
    <row r="11" spans="1:10">
      <c r="A11" s="2106" t="s">
        <v>684</v>
      </c>
      <c r="B11" s="2246">
        <v>0</v>
      </c>
      <c r="C11" s="2246">
        <v>205</v>
      </c>
      <c r="D11" s="2243">
        <v>0</v>
      </c>
      <c r="E11" s="2243">
        <v>0</v>
      </c>
      <c r="F11" s="2243">
        <v>0</v>
      </c>
      <c r="G11" s="2243">
        <v>0</v>
      </c>
      <c r="H11" s="2243">
        <v>0</v>
      </c>
    </row>
    <row r="12" spans="1:10">
      <c r="A12" s="2107" t="s">
        <v>685</v>
      </c>
      <c r="B12" s="2246">
        <v>1428</v>
      </c>
      <c r="C12" s="3116">
        <f>'9.Инвестиционна програма'!F70</f>
        <v>2110</v>
      </c>
      <c r="D12" s="3117">
        <f>'9.Инвестиционна програма'!G70</f>
        <v>842</v>
      </c>
      <c r="E12" s="3118">
        <f>'9.Инвестиционна програма'!H70</f>
        <v>797</v>
      </c>
      <c r="F12" s="3118">
        <f>'9.Инвестиционна програма'!I70</f>
        <v>778</v>
      </c>
      <c r="G12" s="3118">
        <f>'9.Инвестиционна програма'!J70</f>
        <v>762</v>
      </c>
      <c r="H12" s="3119">
        <f>'9.Инвестиционна програма'!K70</f>
        <v>699</v>
      </c>
    </row>
    <row r="13" spans="1:10">
      <c r="A13" s="2108" t="s">
        <v>686</v>
      </c>
      <c r="B13" s="2246">
        <v>11</v>
      </c>
      <c r="C13" s="2246">
        <v>5</v>
      </c>
      <c r="D13" s="2243">
        <v>0</v>
      </c>
      <c r="E13" s="782">
        <v>0</v>
      </c>
      <c r="F13" s="782">
        <v>0</v>
      </c>
      <c r="G13" s="782">
        <v>0</v>
      </c>
      <c r="H13" s="2282">
        <v>0</v>
      </c>
    </row>
    <row r="14" spans="1:10">
      <c r="A14" s="2108" t="s">
        <v>1452</v>
      </c>
      <c r="B14" s="2246">
        <v>723</v>
      </c>
      <c r="C14" s="2246">
        <v>576</v>
      </c>
      <c r="D14" s="2243">
        <v>967</v>
      </c>
      <c r="E14" s="782">
        <v>957</v>
      </c>
      <c r="F14" s="782">
        <v>997</v>
      </c>
      <c r="G14" s="782">
        <v>1032</v>
      </c>
      <c r="H14" s="2282">
        <v>1065</v>
      </c>
    </row>
    <row r="15" spans="1:10">
      <c r="A15" s="2109" t="s">
        <v>1447</v>
      </c>
      <c r="B15" s="2246">
        <v>25</v>
      </c>
      <c r="C15" s="2246">
        <v>25</v>
      </c>
      <c r="D15" s="2243">
        <v>19</v>
      </c>
      <c r="E15" s="782">
        <v>19</v>
      </c>
      <c r="F15" s="782">
        <v>19</v>
      </c>
      <c r="G15" s="782">
        <v>19</v>
      </c>
      <c r="H15" s="2282">
        <v>19</v>
      </c>
    </row>
    <row r="16" spans="1:10">
      <c r="A16" s="2109" t="s">
        <v>1448</v>
      </c>
      <c r="B16" s="2246">
        <v>57</v>
      </c>
      <c r="C16" s="2246">
        <v>62</v>
      </c>
      <c r="D16" s="2243">
        <v>71</v>
      </c>
      <c r="E16" s="782">
        <v>72</v>
      </c>
      <c r="F16" s="782">
        <v>72</v>
      </c>
      <c r="G16" s="782">
        <v>73</v>
      </c>
      <c r="H16" s="2282">
        <v>73</v>
      </c>
    </row>
    <row r="17" spans="1:14">
      <c r="A17" s="2110" t="s">
        <v>687</v>
      </c>
      <c r="B17" s="2125">
        <f>SUM(B18:B21)</f>
        <v>74</v>
      </c>
      <c r="C17" s="2119">
        <f t="shared" ref="C17:H17" si="2">SUM(C18:C21)</f>
        <v>95</v>
      </c>
      <c r="D17" s="2100">
        <f t="shared" si="2"/>
        <v>36</v>
      </c>
      <c r="E17" s="1162">
        <f t="shared" si="2"/>
        <v>36</v>
      </c>
      <c r="F17" s="1162">
        <f t="shared" si="2"/>
        <v>36</v>
      </c>
      <c r="G17" s="1162">
        <f t="shared" si="2"/>
        <v>36</v>
      </c>
      <c r="H17" s="2094">
        <f t="shared" si="2"/>
        <v>36</v>
      </c>
    </row>
    <row r="18" spans="1:14">
      <c r="A18" s="2106" t="s">
        <v>688</v>
      </c>
      <c r="B18" s="2246">
        <v>74</v>
      </c>
      <c r="C18" s="2246">
        <v>95</v>
      </c>
      <c r="D18" s="2243">
        <v>36</v>
      </c>
      <c r="E18" s="782">
        <v>36</v>
      </c>
      <c r="F18" s="782">
        <v>36</v>
      </c>
      <c r="G18" s="782">
        <v>36</v>
      </c>
      <c r="H18" s="2282">
        <v>36</v>
      </c>
    </row>
    <row r="19" spans="1:14">
      <c r="A19" s="2108" t="s">
        <v>689</v>
      </c>
      <c r="B19" s="2246">
        <v>0</v>
      </c>
      <c r="C19" s="2246">
        <v>0</v>
      </c>
      <c r="D19" s="2243">
        <v>0</v>
      </c>
      <c r="E19" s="782">
        <v>0</v>
      </c>
      <c r="F19" s="782">
        <v>0</v>
      </c>
      <c r="G19" s="782">
        <v>0</v>
      </c>
      <c r="H19" s="2282">
        <v>0</v>
      </c>
    </row>
    <row r="20" spans="1:14">
      <c r="A20" s="2108" t="s">
        <v>690</v>
      </c>
      <c r="B20" s="2246">
        <v>0</v>
      </c>
      <c r="C20" s="2246">
        <v>0</v>
      </c>
      <c r="D20" s="2243">
        <v>0</v>
      </c>
      <c r="E20" s="782">
        <v>0</v>
      </c>
      <c r="F20" s="782">
        <v>0</v>
      </c>
      <c r="G20" s="782">
        <v>0</v>
      </c>
      <c r="H20" s="2282">
        <v>0</v>
      </c>
    </row>
    <row r="21" spans="1:14">
      <c r="A21" s="2106" t="s">
        <v>691</v>
      </c>
      <c r="B21" s="2246">
        <v>0</v>
      </c>
      <c r="C21" s="2246">
        <v>0</v>
      </c>
      <c r="D21" s="2243">
        <v>0</v>
      </c>
      <c r="E21" s="782">
        <v>0</v>
      </c>
      <c r="F21" s="782">
        <v>0</v>
      </c>
      <c r="G21" s="782">
        <v>0</v>
      </c>
      <c r="H21" s="2282">
        <v>0</v>
      </c>
    </row>
    <row r="22" spans="1:14" ht="14.25">
      <c r="A22" s="2111" t="s">
        <v>692</v>
      </c>
      <c r="B22" s="2124">
        <f>B23+B37</f>
        <v>15453.07</v>
      </c>
      <c r="C22" s="2118">
        <f t="shared" ref="C22:H22" si="3">C23+C37</f>
        <v>17968.544999999998</v>
      </c>
      <c r="D22" s="2099">
        <f t="shared" si="3"/>
        <v>18586.750000000004</v>
      </c>
      <c r="E22" s="1161">
        <f t="shared" si="3"/>
        <v>18980.320000000003</v>
      </c>
      <c r="F22" s="1161">
        <f t="shared" si="3"/>
        <v>19127.87</v>
      </c>
      <c r="G22" s="1161">
        <f t="shared" si="3"/>
        <v>19128.440000000002</v>
      </c>
      <c r="H22" s="2093">
        <f t="shared" si="3"/>
        <v>19728.82</v>
      </c>
      <c r="I22" s="185"/>
      <c r="J22" s="185"/>
    </row>
    <row r="23" spans="1:14">
      <c r="A23" s="2104" t="s">
        <v>693</v>
      </c>
      <c r="B23" s="2125">
        <f>SUM(B24:B36)</f>
        <v>15430.07</v>
      </c>
      <c r="C23" s="2119">
        <f t="shared" ref="C23:H23" si="4">SUM(C24:C36)</f>
        <v>17933.544999999998</v>
      </c>
      <c r="D23" s="2100">
        <f t="shared" si="4"/>
        <v>18561.750000000004</v>
      </c>
      <c r="E23" s="1162">
        <f t="shared" si="4"/>
        <v>18955.320000000003</v>
      </c>
      <c r="F23" s="1162">
        <f t="shared" si="4"/>
        <v>19102.87</v>
      </c>
      <c r="G23" s="1162">
        <f t="shared" si="4"/>
        <v>19103.440000000002</v>
      </c>
      <c r="H23" s="2094">
        <f t="shared" si="4"/>
        <v>19703.82</v>
      </c>
    </row>
    <row r="24" spans="1:14">
      <c r="A24" s="2106" t="s">
        <v>694</v>
      </c>
      <c r="B24" s="2126">
        <f>'12. Разходи'!C11+'12. Разходи'!J11+'12. Разходи'!Q11</f>
        <v>3406</v>
      </c>
      <c r="C24" s="2120">
        <f>'12. Разходи'!D11+'12. Разходи'!K11+'12. Разходи'!R11</f>
        <v>3572</v>
      </c>
      <c r="D24" s="1465">
        <f>'12. Разходи'!E11+'12. Разходи'!L11+'12. Разходи'!S11</f>
        <v>3450.5</v>
      </c>
      <c r="E24" s="820">
        <f>'12. Разходи'!F11+'12. Разходи'!M11+'12. Разходи'!T11</f>
        <v>3503.5</v>
      </c>
      <c r="F24" s="820">
        <f>'12. Разходи'!G11+'12. Разходи'!N11+'12. Разходи'!U11</f>
        <v>3492</v>
      </c>
      <c r="G24" s="820">
        <f>'12. Разходи'!H11+'12. Разходи'!O11+'12. Разходи'!V11</f>
        <v>3468.5</v>
      </c>
      <c r="H24" s="818">
        <f>'12. Разходи'!I11+'12. Разходи'!P11+'12. Разходи'!W11</f>
        <v>3468.5</v>
      </c>
      <c r="I24" s="389"/>
      <c r="J24" s="389"/>
      <c r="K24" s="389"/>
      <c r="L24" s="389"/>
      <c r="M24" s="389"/>
      <c r="N24" s="389"/>
    </row>
    <row r="25" spans="1:14">
      <c r="A25" s="2106" t="s">
        <v>695</v>
      </c>
      <c r="B25" s="2126">
        <f>'12. Разходи'!C28+'12. Разходи'!J28+'12. Разходи'!Q28</f>
        <v>2103</v>
      </c>
      <c r="C25" s="2120">
        <f>'12. Разходи'!D28+'12. Разходи'!K28+'12. Разходи'!R28</f>
        <v>2264</v>
      </c>
      <c r="D25" s="1465">
        <f>'12. Разходи'!E28+'12. Разходи'!L28+'12. Разходи'!S28</f>
        <v>2102</v>
      </c>
      <c r="E25" s="820">
        <f>'12. Разходи'!F28+'12. Разходи'!M28+'12. Разходи'!T28</f>
        <v>2102</v>
      </c>
      <c r="F25" s="820">
        <f>'12. Разходи'!G28+'12. Разходи'!N28+'12. Разходи'!U28</f>
        <v>2102</v>
      </c>
      <c r="G25" s="820">
        <f>'12. Разходи'!H28+'12. Разходи'!O28+'12. Разходи'!V28</f>
        <v>2043</v>
      </c>
      <c r="H25" s="818">
        <f>'12. Разходи'!I28+'12. Разходи'!P28+'12. Разходи'!W28</f>
        <v>1986</v>
      </c>
      <c r="I25" s="389"/>
      <c r="J25" s="389"/>
      <c r="K25" s="389"/>
      <c r="L25" s="389"/>
      <c r="M25" s="389"/>
      <c r="N25" s="389"/>
    </row>
    <row r="26" spans="1:14">
      <c r="A26" s="2106" t="s">
        <v>624</v>
      </c>
      <c r="B26" s="2126">
        <f>'12. Разходи'!C57+'12. Разходи'!J57+'12. Разходи'!Q57</f>
        <v>3782</v>
      </c>
      <c r="C26" s="2120">
        <f>'12. Разходи'!D57+'12. Разходи'!K57+'12. Разходи'!R57</f>
        <v>4232</v>
      </c>
      <c r="D26" s="1465">
        <f>'12. Разходи'!E57+'12. Разходи'!L57+'12. Разходи'!S57</f>
        <v>5868</v>
      </c>
      <c r="E26" s="820">
        <f>'12. Разходи'!F57+'12. Разходи'!M57+'12. Разходи'!T57</f>
        <v>6112</v>
      </c>
      <c r="F26" s="820">
        <f>'12. Разходи'!G57+'12. Разходи'!N57+'12. Разходи'!U57</f>
        <v>6219</v>
      </c>
      <c r="G26" s="820">
        <f>'12. Разходи'!H57+'12. Разходи'!O57+'12. Разходи'!V57</f>
        <v>6310</v>
      </c>
      <c r="H26" s="818">
        <f>'12. Разходи'!I57+'12. Разходи'!P57+'12. Разходи'!W57</f>
        <v>6914</v>
      </c>
      <c r="I26" s="389"/>
      <c r="J26" s="389"/>
      <c r="K26" s="389"/>
      <c r="L26" s="389"/>
      <c r="M26" s="389"/>
      <c r="N26" s="389"/>
    </row>
    <row r="27" spans="1:14">
      <c r="A27" s="2106" t="s">
        <v>696</v>
      </c>
      <c r="B27" s="2126">
        <f>'12. Разходи'!C61+'12. Разходи'!J61+'12. Разходи'!Q61</f>
        <v>957</v>
      </c>
      <c r="C27" s="2120">
        <f>'12. Разходи'!D61+'12. Разходи'!K61+'12. Разходи'!R61</f>
        <v>1233</v>
      </c>
      <c r="D27" s="1465">
        <f>'12. Разходи'!E61+'12. Разходи'!L61+'12. Разходи'!S61</f>
        <v>1521</v>
      </c>
      <c r="E27" s="820">
        <f>'12. Разходи'!F61+'12. Разходи'!M61+'12. Разходи'!T61</f>
        <v>1553</v>
      </c>
      <c r="F27" s="820">
        <f>'12. Разходи'!G61+'12. Разходи'!N61+'12. Разходи'!U61</f>
        <v>1611</v>
      </c>
      <c r="G27" s="820">
        <f>'12. Разходи'!H61+'12. Разходи'!O61+'12. Разходи'!V61</f>
        <v>1633</v>
      </c>
      <c r="H27" s="818">
        <f>'12. Разходи'!I61+'12. Разходи'!P61+'12. Разходи'!W61</f>
        <v>1790</v>
      </c>
      <c r="I27" s="389"/>
      <c r="J27" s="389"/>
      <c r="K27" s="389"/>
      <c r="L27" s="389"/>
      <c r="M27" s="389"/>
      <c r="N27" s="389"/>
    </row>
    <row r="28" spans="1:14">
      <c r="A28" s="2106" t="s">
        <v>697</v>
      </c>
      <c r="B28" s="2126">
        <f>'12. Разходи'!C53+'12. Разходи'!J53+'12. Разходи'!Q53</f>
        <v>1577</v>
      </c>
      <c r="C28" s="2120">
        <f>'12. Разходи'!D53+'12. Разходи'!K53+'12. Разходи'!R53</f>
        <v>1801.5450000000001</v>
      </c>
      <c r="D28" s="1465">
        <f>'12. Разходи'!E53+'12. Разходи'!L53+'12. Разходи'!S53</f>
        <v>2077.6200000000003</v>
      </c>
      <c r="E28" s="820">
        <f>'12. Разходи'!F53+'12. Разходи'!M53+'12. Разходи'!T53</f>
        <v>2170.19</v>
      </c>
      <c r="F28" s="820">
        <f>'12. Разходи'!G53+'12. Разходи'!N53+'12. Разходи'!U53</f>
        <v>2169.2400000000002</v>
      </c>
      <c r="G28" s="820">
        <f>'12. Разходи'!H53+'12. Разходи'!O53+'12. Разходи'!V53</f>
        <v>2168.3100000000004</v>
      </c>
      <c r="H28" s="818">
        <f>'12. Разходи'!I53+'12. Разходи'!P53+'12. Разходи'!W53</f>
        <v>2136.6899999999996</v>
      </c>
      <c r="I28" s="389"/>
      <c r="J28" s="389"/>
      <c r="K28" s="389"/>
      <c r="L28" s="389"/>
      <c r="M28" s="389"/>
      <c r="N28" s="389"/>
    </row>
    <row r="29" spans="1:14">
      <c r="A29" s="2106" t="s">
        <v>698</v>
      </c>
      <c r="B29" s="2246">
        <v>0</v>
      </c>
      <c r="C29" s="2246">
        <v>0</v>
      </c>
      <c r="D29" s="2246">
        <v>0</v>
      </c>
      <c r="E29" s="2246">
        <v>0</v>
      </c>
      <c r="F29" s="2246">
        <v>0</v>
      </c>
      <c r="G29" s="2246">
        <v>0</v>
      </c>
      <c r="H29" s="2246">
        <v>0</v>
      </c>
    </row>
    <row r="30" spans="1:14">
      <c r="A30" s="2107" t="s">
        <v>699</v>
      </c>
      <c r="B30" s="2246">
        <v>813</v>
      </c>
      <c r="C30" s="3116">
        <f>'9.Инвестиционна програма'!F70</f>
        <v>2110</v>
      </c>
      <c r="D30" s="3117">
        <f>'9.Инвестиционна програма'!G70</f>
        <v>842</v>
      </c>
      <c r="E30" s="3118">
        <f>'9.Инвестиционна програма'!H70</f>
        <v>797</v>
      </c>
      <c r="F30" s="3118">
        <f>'9.Инвестиционна програма'!I70</f>
        <v>778</v>
      </c>
      <c r="G30" s="3118">
        <f>'9.Инвестиционна програма'!J70</f>
        <v>762</v>
      </c>
      <c r="H30" s="3119">
        <f>'9.Инвестиционна програма'!K70</f>
        <v>699</v>
      </c>
    </row>
    <row r="31" spans="1:14">
      <c r="A31" s="2106" t="s">
        <v>626</v>
      </c>
      <c r="B31" s="2126">
        <f>'12. Разходи'!C66+'12. Разходи'!J66+'12. Разходи'!Q66</f>
        <v>570</v>
      </c>
      <c r="C31" s="2120">
        <f>'12. Разходи'!D66+'12. Разходи'!K66+'12. Разходи'!R66</f>
        <v>554</v>
      </c>
      <c r="D31" s="1465">
        <f>'12. Разходи'!E66+'12. Разходи'!L66+'12. Разходи'!S66</f>
        <v>551</v>
      </c>
      <c r="E31" s="820">
        <f>'12. Разходи'!F66+'12. Разходи'!M66+'12. Разходи'!T66</f>
        <v>551</v>
      </c>
      <c r="F31" s="820">
        <f>'12. Разходи'!G66+'12. Разходи'!N66+'12. Разходи'!U66</f>
        <v>551</v>
      </c>
      <c r="G31" s="820">
        <f>'12. Разходи'!H66+'12. Разходи'!O66+'12. Разходи'!V66</f>
        <v>529</v>
      </c>
      <c r="H31" s="818">
        <f>'12. Разходи'!I66+'12. Разходи'!P66+'12. Разходи'!W66</f>
        <v>508</v>
      </c>
    </row>
    <row r="32" spans="1:14">
      <c r="A32" s="2108" t="s">
        <v>700</v>
      </c>
      <c r="B32" s="2126">
        <f>('12. Разходи'!C72+'12. Разходи'!J72+'12. Разходи'!Q72)</f>
        <v>202</v>
      </c>
      <c r="C32" s="2120">
        <f>('12. Разходи'!D72+'12. Разходи'!K72+'12. Разходи'!R72)</f>
        <v>195</v>
      </c>
      <c r="D32" s="1465">
        <f>('12. Разходи'!E72+'12. Разходи'!L72+'12. Разходи'!S72)</f>
        <v>202</v>
      </c>
      <c r="E32" s="820">
        <f>('12. Разходи'!F72+'12. Разходи'!M72+'12. Разходи'!T72)</f>
        <v>202</v>
      </c>
      <c r="F32" s="820">
        <f>('12. Разходи'!G72+'12. Разходи'!N72+'12. Разходи'!U72)</f>
        <v>202</v>
      </c>
      <c r="G32" s="820">
        <f>('12. Разходи'!H72+'12. Разходи'!O72+'12. Разходи'!V72)</f>
        <v>202</v>
      </c>
      <c r="H32" s="818">
        <f>('12. Разходи'!I72+'12. Разходи'!P72+'12. Разходи'!W72)</f>
        <v>202</v>
      </c>
    </row>
    <row r="33" spans="1:10">
      <c r="A33" s="2108" t="s">
        <v>288</v>
      </c>
      <c r="B33" s="2126">
        <f>'12. Разходи'!X84</f>
        <v>1907.0699999999997</v>
      </c>
      <c r="C33" s="2120">
        <f>'12. Разходи'!Y84</f>
        <v>1853</v>
      </c>
      <c r="D33" s="1465">
        <f>'12. Разходи'!Z84</f>
        <v>1827.63</v>
      </c>
      <c r="E33" s="820">
        <f>'12. Разходи'!AA84</f>
        <v>1844.63</v>
      </c>
      <c r="F33" s="820">
        <f>'12. Разходи'!AB84</f>
        <v>1858.63</v>
      </c>
      <c r="G33" s="820">
        <f>'12. Разходи'!AC84</f>
        <v>1867.63</v>
      </c>
      <c r="H33" s="818">
        <f>'12. Разходи'!AD84</f>
        <v>1879.63</v>
      </c>
    </row>
    <row r="34" spans="1:10">
      <c r="A34" s="2109" t="s">
        <v>1444</v>
      </c>
      <c r="B34" s="2246">
        <v>33</v>
      </c>
      <c r="C34" s="2246">
        <v>33</v>
      </c>
      <c r="D34" s="2243">
        <v>33</v>
      </c>
      <c r="E34" s="782">
        <v>33</v>
      </c>
      <c r="F34" s="782">
        <v>33</v>
      </c>
      <c r="G34" s="782">
        <v>33</v>
      </c>
      <c r="H34" s="2282">
        <v>33</v>
      </c>
    </row>
    <row r="35" spans="1:10">
      <c r="A35" s="2109" t="s">
        <v>1445</v>
      </c>
      <c r="B35" s="2246">
        <v>17</v>
      </c>
      <c r="C35" s="2246">
        <v>23</v>
      </c>
      <c r="D35" s="2243">
        <v>19</v>
      </c>
      <c r="E35" s="782">
        <v>19</v>
      </c>
      <c r="F35" s="782">
        <v>19</v>
      </c>
      <c r="G35" s="782">
        <v>19</v>
      </c>
      <c r="H35" s="2282">
        <v>19</v>
      </c>
    </row>
    <row r="36" spans="1:10">
      <c r="A36" s="2109" t="s">
        <v>1446</v>
      </c>
      <c r="B36" s="2246">
        <v>63</v>
      </c>
      <c r="C36" s="2246">
        <v>63</v>
      </c>
      <c r="D36" s="2243">
        <v>68</v>
      </c>
      <c r="E36" s="782">
        <v>68</v>
      </c>
      <c r="F36" s="782">
        <v>68</v>
      </c>
      <c r="G36" s="782">
        <v>68</v>
      </c>
      <c r="H36" s="2282">
        <v>68</v>
      </c>
    </row>
    <row r="37" spans="1:10">
      <c r="A37" s="2112" t="s">
        <v>701</v>
      </c>
      <c r="B37" s="2125">
        <f>SUM(B38:B41)</f>
        <v>23</v>
      </c>
      <c r="C37" s="2119">
        <f t="shared" ref="C37:H37" si="5">SUM(C38:C41)</f>
        <v>35</v>
      </c>
      <c r="D37" s="2100">
        <f t="shared" si="5"/>
        <v>25</v>
      </c>
      <c r="E37" s="1162">
        <f t="shared" si="5"/>
        <v>25</v>
      </c>
      <c r="F37" s="1162">
        <f>SUM(F38:F41)</f>
        <v>25</v>
      </c>
      <c r="G37" s="1162">
        <f>SUM(G38:G41)</f>
        <v>25</v>
      </c>
      <c r="H37" s="2094">
        <f t="shared" si="5"/>
        <v>25</v>
      </c>
    </row>
    <row r="38" spans="1:10">
      <c r="A38" s="2106" t="s">
        <v>702</v>
      </c>
      <c r="B38" s="3115">
        <f>'10. Финансиране на ИП'!C39+'10. Финансиране на ИП'!J39+'10. Финансиране на ИП'!Q39+'10. Финансиране на ИП'!C51+'10. Финансиране на ИП'!J51+'10. Финансиране на ИП'!C63+'10. Финансиране на ИП'!J63</f>
        <v>0</v>
      </c>
      <c r="C38" s="3116">
        <f>'10. Финансиране на ИП'!D39+'10. Финансиране на ИП'!K39+'10. Финансиране на ИП'!R39+'10. Финансиране на ИП'!D51+'10. Финансиране на ИП'!K51+'10. Финансиране на ИП'!D63+'10. Финансиране на ИП'!K63</f>
        <v>0</v>
      </c>
      <c r="D38" s="3117">
        <f>'10. Финансиране на ИП'!E39+'10. Финансиране на ИП'!L39+'10. Финансиране на ИП'!S39+'10. Финансиране на ИП'!E51+'10. Финансиране на ИП'!L51+'10. Финансиране на ИП'!E63+'10. Финансиране на ИП'!L63</f>
        <v>0</v>
      </c>
      <c r="E38" s="3118">
        <f>'10. Финансиране на ИП'!F39+'10. Финансиране на ИП'!M39+'10. Финансиране на ИП'!T39+'10. Финансиране на ИП'!F51+'10. Финансиране на ИП'!M51+'10. Финансиране на ИП'!F63+'10. Финансиране на ИП'!M63</f>
        <v>0</v>
      </c>
      <c r="F38" s="3118">
        <f>'10. Финансиране на ИП'!G39+'10. Финансиране на ИП'!N39+'10. Финансиране на ИП'!U39+'10. Финансиране на ИП'!G51+'10. Финансиране на ИП'!N51+'10. Финансиране на ИП'!G63+'10. Финансиране на ИП'!N63</f>
        <v>0</v>
      </c>
      <c r="G38" s="3118">
        <f>'10. Финансиране на ИП'!H39+'10. Финансиране на ИП'!O39+'10. Финансиране на ИП'!V39+'10. Финансиране на ИП'!H51+'10. Финансиране на ИП'!O51+'10. Финансиране на ИП'!H63+'10. Финансиране на ИП'!O63</f>
        <v>0</v>
      </c>
      <c r="H38" s="3119">
        <f>'10. Финансиране на ИП'!I39+'10. Финансиране на ИП'!P39+'10. Финансиране на ИП'!W39+'10. Финансиране на ИП'!I51+'10. Финансиране на ИП'!P51+'10. Финансиране на ИП'!I63+'10. Финансиране на ИП'!P63</f>
        <v>0</v>
      </c>
    </row>
    <row r="39" spans="1:10">
      <c r="A39" s="2106" t="s">
        <v>703</v>
      </c>
      <c r="B39" s="2246">
        <v>0</v>
      </c>
      <c r="C39" s="2246">
        <v>0</v>
      </c>
      <c r="D39" s="2246">
        <v>0</v>
      </c>
      <c r="E39" s="2246">
        <v>0</v>
      </c>
      <c r="F39" s="2246">
        <v>0</v>
      </c>
      <c r="G39" s="2246">
        <v>0</v>
      </c>
      <c r="H39" s="2246">
        <v>0</v>
      </c>
    </row>
    <row r="40" spans="1:10">
      <c r="A40" s="2106" t="s">
        <v>704</v>
      </c>
      <c r="B40" s="2246">
        <v>0</v>
      </c>
      <c r="C40" s="2246">
        <v>0</v>
      </c>
      <c r="D40" s="2246">
        <v>0</v>
      </c>
      <c r="E40" s="2246">
        <v>0</v>
      </c>
      <c r="F40" s="2246">
        <v>0</v>
      </c>
      <c r="G40" s="2246">
        <v>0</v>
      </c>
      <c r="H40" s="2246">
        <v>0</v>
      </c>
    </row>
    <row r="41" spans="1:10">
      <c r="A41" s="2113" t="s">
        <v>705</v>
      </c>
      <c r="B41" s="2246">
        <v>23</v>
      </c>
      <c r="C41" s="2246">
        <v>35</v>
      </c>
      <c r="D41" s="2243">
        <v>25</v>
      </c>
      <c r="E41" s="782">
        <v>25</v>
      </c>
      <c r="F41" s="782">
        <v>25</v>
      </c>
      <c r="G41" s="782">
        <v>25</v>
      </c>
      <c r="H41" s="2282">
        <v>25</v>
      </c>
    </row>
    <row r="42" spans="1:10" ht="14.25">
      <c r="A42" s="2114" t="s">
        <v>706</v>
      </c>
      <c r="B42" s="2128">
        <f t="shared" ref="B42:H42" si="6">B8-B23</f>
        <v>308.93000000000029</v>
      </c>
      <c r="C42" s="2122">
        <f t="shared" si="6"/>
        <v>308.45500000000175</v>
      </c>
      <c r="D42" s="2102">
        <f t="shared" si="6"/>
        <v>358.84529038812252</v>
      </c>
      <c r="E42" s="1164">
        <f t="shared" si="6"/>
        <v>372.3523840867565</v>
      </c>
      <c r="F42" s="1164">
        <f t="shared" si="6"/>
        <v>383.7347950000003</v>
      </c>
      <c r="G42" s="1164">
        <f t="shared" si="6"/>
        <v>384.23146230593193</v>
      </c>
      <c r="H42" s="2096">
        <f t="shared" si="6"/>
        <v>387.2526007077613</v>
      </c>
      <c r="I42" s="185"/>
      <c r="J42" s="185"/>
    </row>
    <row r="43" spans="1:10" ht="14.25">
      <c r="A43" s="2114" t="s">
        <v>707</v>
      </c>
      <c r="B43" s="2128">
        <f t="shared" ref="B43:H43" si="7">B7-B22</f>
        <v>359.93000000000029</v>
      </c>
      <c r="C43" s="2122">
        <f t="shared" si="7"/>
        <v>368.45500000000175</v>
      </c>
      <c r="D43" s="2102">
        <f t="shared" si="7"/>
        <v>369.84529038812252</v>
      </c>
      <c r="E43" s="1164">
        <f t="shared" si="7"/>
        <v>383.3523840867565</v>
      </c>
      <c r="F43" s="1164">
        <f t="shared" si="7"/>
        <v>394.7347950000003</v>
      </c>
      <c r="G43" s="1164">
        <f t="shared" si="7"/>
        <v>395.23146230593193</v>
      </c>
      <c r="H43" s="2096">
        <f t="shared" si="7"/>
        <v>398.2526007077613</v>
      </c>
      <c r="I43" s="185"/>
      <c r="J43" s="185"/>
    </row>
    <row r="44" spans="1:10">
      <c r="A44" s="2115" t="s">
        <v>708</v>
      </c>
      <c r="B44" s="2246">
        <v>126</v>
      </c>
      <c r="C44" s="2120">
        <f t="shared" ref="C44:H44" si="8">10%*(C43-C29)</f>
        <v>36.845500000000179</v>
      </c>
      <c r="D44" s="1465">
        <f t="shared" si="8"/>
        <v>36.984529038812255</v>
      </c>
      <c r="E44" s="820">
        <f t="shared" si="8"/>
        <v>38.33523840867565</v>
      </c>
      <c r="F44" s="820">
        <f t="shared" si="8"/>
        <v>39.473479500000032</v>
      </c>
      <c r="G44" s="820">
        <f t="shared" si="8"/>
        <v>39.523146230593198</v>
      </c>
      <c r="H44" s="818">
        <f t="shared" si="8"/>
        <v>39.825260070776132</v>
      </c>
    </row>
    <row r="45" spans="1:10">
      <c r="A45" s="2116" t="s">
        <v>709</v>
      </c>
      <c r="B45" s="2246">
        <v>-89</v>
      </c>
      <c r="C45" s="2246">
        <v>0</v>
      </c>
      <c r="D45" s="2243">
        <v>-25</v>
      </c>
      <c r="E45" s="782">
        <v>-25</v>
      </c>
      <c r="F45" s="782">
        <v>-25</v>
      </c>
      <c r="G45" s="782">
        <v>-25</v>
      </c>
      <c r="H45" s="2282">
        <v>-25</v>
      </c>
    </row>
    <row r="46" spans="1:10" ht="15" thickBot="1">
      <c r="A46" s="2117" t="s">
        <v>710</v>
      </c>
      <c r="B46" s="2129">
        <f>B43-B44-B45</f>
        <v>322.93000000000029</v>
      </c>
      <c r="C46" s="2123">
        <f t="shared" ref="C46:H46" si="9">C43-C44-C45</f>
        <v>331.60950000000156</v>
      </c>
      <c r="D46" s="2103">
        <f t="shared" si="9"/>
        <v>357.86076134931028</v>
      </c>
      <c r="E46" s="2097">
        <f t="shared" si="9"/>
        <v>370.01714567808085</v>
      </c>
      <c r="F46" s="2097">
        <f t="shared" si="9"/>
        <v>380.26131550000025</v>
      </c>
      <c r="G46" s="2097">
        <f t="shared" si="9"/>
        <v>380.70831607533876</v>
      </c>
      <c r="H46" s="2098">
        <f t="shared" si="9"/>
        <v>383.42734063698515</v>
      </c>
      <c r="I46" s="185"/>
      <c r="J46" s="185"/>
    </row>
    <row r="47" spans="1:10" ht="14.25">
      <c r="I47" s="185"/>
      <c r="J47" s="185"/>
    </row>
    <row r="49" spans="1:13" s="199" customFormat="1">
      <c r="A49" s="194"/>
      <c r="B49" s="194"/>
      <c r="C49" s="194"/>
      <c r="D49" s="292" t="str">
        <f>'13. Соц. поносимост'!E22</f>
        <v>Главен счетоводител:</v>
      </c>
      <c r="E49" s="289"/>
      <c r="F49" s="219" t="s">
        <v>262</v>
      </c>
      <c r="I49" s="217"/>
      <c r="K49" s="390"/>
      <c r="L49" s="391"/>
      <c r="M49" s="194"/>
    </row>
    <row r="50" spans="1:13" s="199" customFormat="1">
      <c r="A50" s="214" t="str">
        <f>'13. Соц. поносимост'!A23</f>
        <v>Дата: 27.06.2016г.</v>
      </c>
      <c r="B50" s="221"/>
      <c r="C50" s="221"/>
      <c r="D50" s="288"/>
      <c r="E50" s="220"/>
      <c r="F50" s="290"/>
      <c r="G50" s="291" t="s">
        <v>5</v>
      </c>
      <c r="I50" s="217"/>
      <c r="K50" s="390"/>
      <c r="L50" s="391"/>
      <c r="M50" s="194"/>
    </row>
    <row r="51" spans="1:13" s="199" customFormat="1">
      <c r="A51" s="212"/>
      <c r="B51" s="212"/>
      <c r="C51" s="212"/>
      <c r="D51" s="288"/>
      <c r="E51" s="220"/>
      <c r="F51" s="290"/>
      <c r="G51" s="291"/>
      <c r="I51" s="217"/>
      <c r="K51" s="392"/>
      <c r="L51" s="391"/>
      <c r="M51" s="194"/>
    </row>
    <row r="52" spans="1:13" s="199" customFormat="1">
      <c r="A52" s="221"/>
      <c r="B52" s="221"/>
      <c r="C52" s="221"/>
      <c r="D52" s="288"/>
      <c r="E52" s="220"/>
      <c r="F52" s="290"/>
      <c r="G52" s="291"/>
      <c r="I52" s="217"/>
      <c r="K52" s="392"/>
      <c r="L52" s="391"/>
      <c r="M52" s="194"/>
    </row>
    <row r="53" spans="1:13" s="199" customFormat="1">
      <c r="A53" s="221"/>
      <c r="B53" s="221"/>
      <c r="C53" s="221"/>
      <c r="D53" s="288"/>
      <c r="E53" s="220"/>
      <c r="F53" s="290"/>
      <c r="G53" s="291"/>
      <c r="I53" s="217"/>
      <c r="K53" s="390"/>
      <c r="L53" s="391"/>
      <c r="M53" s="194"/>
    </row>
    <row r="54" spans="1:13" s="199" customFormat="1" ht="15">
      <c r="A54" s="221"/>
      <c r="B54" s="221"/>
      <c r="C54" s="221"/>
      <c r="D54" s="352"/>
      <c r="E54" s="292" t="str">
        <f>'13. Соц. поносимост'!F27</f>
        <v>Управител:</v>
      </c>
      <c r="F54" s="219" t="s">
        <v>262</v>
      </c>
      <c r="G54" s="217"/>
      <c r="I54" s="217"/>
      <c r="K54" s="390"/>
      <c r="L54" s="391"/>
      <c r="M54" s="194"/>
    </row>
    <row r="55" spans="1:13" s="199" customFormat="1">
      <c r="A55" s="221"/>
      <c r="B55" s="221"/>
      <c r="C55" s="221"/>
      <c r="D55" s="288"/>
      <c r="E55" s="293"/>
      <c r="F55" s="290"/>
      <c r="G55" s="291" t="s">
        <v>6</v>
      </c>
      <c r="I55" s="290"/>
      <c r="K55" s="390"/>
      <c r="L55" s="391"/>
      <c r="M55" s="194"/>
    </row>
    <row r="56" spans="1:13" s="199" customFormat="1">
      <c r="A56" s="3592" t="s">
        <v>247</v>
      </c>
      <c r="B56" s="3592"/>
      <c r="C56" s="3592"/>
      <c r="D56" s="3592"/>
      <c r="E56" s="176"/>
      <c r="F56" s="176"/>
      <c r="G56" s="176"/>
      <c r="H56" s="176"/>
      <c r="K56" s="390"/>
      <c r="L56" s="391"/>
      <c r="M56" s="194"/>
    </row>
    <row r="57" spans="1:13" s="199" customFormat="1">
      <c r="A57" s="3593" t="s">
        <v>248</v>
      </c>
      <c r="B57" s="3593"/>
      <c r="C57" s="3593"/>
      <c r="D57" s="3593"/>
      <c r="E57" s="176"/>
      <c r="F57" s="176"/>
      <c r="G57" s="176"/>
      <c r="H57" s="176"/>
      <c r="K57" s="393"/>
      <c r="L57" s="194"/>
      <c r="M57" s="194"/>
    </row>
    <row r="58" spans="1:13">
      <c r="A58" s="3591" t="s">
        <v>1538</v>
      </c>
      <c r="B58" s="3591"/>
      <c r="C58" s="3591"/>
      <c r="G58" s="172"/>
      <c r="H58" s="172"/>
    </row>
  </sheetData>
  <sheetProtection password="C6DB" sheet="1" objects="1" scenarios="1" formatCells="0" formatColumns="0" formatRows="0"/>
  <mergeCells count="6">
    <mergeCell ref="A58:C58"/>
    <mergeCell ref="A56:D56"/>
    <mergeCell ref="A57:D57"/>
    <mergeCell ref="A2:H2"/>
    <mergeCell ref="A3:H3"/>
    <mergeCell ref="A4:H4"/>
  </mergeCells>
  <printOptions horizontalCentered="1"/>
  <pageMargins left="0.51181102362204722" right="0.31496062992125984" top="0.74803149606299213" bottom="0.55118110236220474" header="0.31496062992125984" footer="0.31496062992125984"/>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8" tint="0.79998168889431442"/>
  </sheetPr>
  <dimension ref="A1:M60"/>
  <sheetViews>
    <sheetView view="pageBreakPreview" zoomScale="85" zoomScaleNormal="100" zoomScaleSheetLayoutView="85" workbookViewId="0">
      <pane xSplit="8" ySplit="6" topLeftCell="I22" activePane="bottomRight" state="frozen"/>
      <selection pane="topRight" activeCell="I1" sqref="I1"/>
      <selection pane="bottomLeft" activeCell="A7" sqref="A7"/>
      <selection pane="bottomRight" activeCell="C38" sqref="C38:H38"/>
    </sheetView>
  </sheetViews>
  <sheetFormatPr defaultRowHeight="12.75"/>
  <cols>
    <col min="1" max="1" width="58.140625" style="172" customWidth="1"/>
    <col min="2" max="6" width="9.7109375" style="172" customWidth="1"/>
    <col min="7" max="8" width="9.140625" style="183"/>
    <col min="9" max="16384" width="9.140625" style="133"/>
  </cols>
  <sheetData>
    <row r="1" spans="1:9" ht="13.5">
      <c r="G1" s="388"/>
      <c r="H1" s="51" t="str">
        <f>'14. ОПР'!H1</f>
        <v>Приложение № 5</v>
      </c>
    </row>
    <row r="2" spans="1:9" ht="38.25" customHeight="1">
      <c r="A2" s="3420" t="s">
        <v>1419</v>
      </c>
      <c r="B2" s="3420"/>
      <c r="C2" s="3420"/>
      <c r="D2" s="3420"/>
      <c r="E2" s="3420"/>
      <c r="F2" s="3420"/>
    </row>
    <row r="3" spans="1:9" ht="15.75">
      <c r="A3" s="3427" t="str">
        <f>'1. Анкетна карта'!A3:J3</f>
        <v>на "Водоснабдяване и канализация" ООД , гр. Враца</v>
      </c>
      <c r="B3" s="3427"/>
      <c r="C3" s="3427"/>
      <c r="D3" s="3427"/>
      <c r="E3" s="3427"/>
      <c r="F3" s="3427"/>
    </row>
    <row r="4" spans="1:9" ht="15.75">
      <c r="A4" s="3427" t="str">
        <f>'1. Анкетна карта'!A4:J4</f>
        <v>ЕИК по БУЛСТАТ: 816090199</v>
      </c>
      <c r="B4" s="3427"/>
      <c r="C4" s="3427"/>
      <c r="D4" s="3427"/>
      <c r="E4" s="3427"/>
      <c r="F4" s="3427"/>
    </row>
    <row r="5" spans="1:9" ht="13.5" thickBot="1">
      <c r="A5" s="190"/>
      <c r="B5" s="190"/>
      <c r="C5" s="190"/>
      <c r="D5" s="190"/>
      <c r="E5" s="190"/>
      <c r="F5" s="190"/>
    </row>
    <row r="6" spans="1:9" ht="13.5" thickBot="1">
      <c r="A6" s="2136" t="s">
        <v>681</v>
      </c>
      <c r="B6" s="2137" t="str">
        <f>'Приложение '!$G12</f>
        <v>2015 г.</v>
      </c>
      <c r="C6" s="2138" t="str">
        <f>'Приложение '!$G13</f>
        <v>2016 г.</v>
      </c>
      <c r="D6" s="2139" t="str">
        <f>'Приложение '!$G14</f>
        <v>2017 г.</v>
      </c>
      <c r="E6" s="2140" t="str">
        <f>'Приложение '!$G15</f>
        <v>2018 г.</v>
      </c>
      <c r="F6" s="2140" t="str">
        <f>'Приложение '!$G16</f>
        <v>2019 г.</v>
      </c>
      <c r="G6" s="2140" t="str">
        <f>'Приложение '!$G17</f>
        <v>2020 г.</v>
      </c>
      <c r="H6" s="2141" t="str">
        <f>'Приложение '!$G18</f>
        <v>2021 г.</v>
      </c>
    </row>
    <row r="7" spans="1:9" ht="14.25">
      <c r="A7" s="2130" t="s">
        <v>711</v>
      </c>
      <c r="B7" s="2131">
        <f t="shared" ref="B7:H7" si="0">B8+B15</f>
        <v>16898</v>
      </c>
      <c r="C7" s="2132">
        <f t="shared" si="0"/>
        <v>17520</v>
      </c>
      <c r="D7" s="2133">
        <f t="shared" si="0"/>
        <v>17281.595290388126</v>
      </c>
      <c r="E7" s="2134">
        <f t="shared" si="0"/>
        <v>17745.67238408676</v>
      </c>
      <c r="F7" s="2134">
        <f t="shared" si="0"/>
        <v>17883.604794999999</v>
      </c>
      <c r="G7" s="2134">
        <f t="shared" si="0"/>
        <v>17864.671462305934</v>
      </c>
      <c r="H7" s="2135">
        <f t="shared" si="0"/>
        <v>18498.072600707761</v>
      </c>
      <c r="I7" s="185"/>
    </row>
    <row r="8" spans="1:9">
      <c r="A8" s="2104" t="s">
        <v>712</v>
      </c>
      <c r="B8" s="2125">
        <f t="shared" ref="B8:H8" si="1">SUM(B9:B14)</f>
        <v>16891</v>
      </c>
      <c r="C8" s="2119">
        <f t="shared" si="1"/>
        <v>17511</v>
      </c>
      <c r="D8" s="2100">
        <f t="shared" si="1"/>
        <v>17245.595290388126</v>
      </c>
      <c r="E8" s="1162">
        <f t="shared" si="1"/>
        <v>17709.67238408676</v>
      </c>
      <c r="F8" s="1162">
        <f t="shared" si="1"/>
        <v>17847.604794999999</v>
      </c>
      <c r="G8" s="1162">
        <f t="shared" si="1"/>
        <v>17828.671462305934</v>
      </c>
      <c r="H8" s="2094">
        <f t="shared" si="1"/>
        <v>18462.072600707761</v>
      </c>
    </row>
    <row r="9" spans="1:9">
      <c r="A9" s="2105" t="s">
        <v>1453</v>
      </c>
      <c r="B9" s="2246">
        <v>14267</v>
      </c>
      <c r="C9" s="2246">
        <v>15028</v>
      </c>
      <c r="D9" s="1465">
        <f>'16. Необходими приходи'!F11+'16. Необходими приходи'!M11+'16. Необходими приходи'!T11</f>
        <v>17021.595290388126</v>
      </c>
      <c r="E9" s="820">
        <f>'16. Необходими приходи'!G11+'16. Необходими приходи'!N11+'16. Необходими приходи'!U11</f>
        <v>17482.67238408676</v>
      </c>
      <c r="F9" s="820">
        <f>'16. Необходими приходи'!H11+'16. Необходими приходи'!O11+'16. Необходими приходи'!V11</f>
        <v>17620.604794999999</v>
      </c>
      <c r="G9" s="820">
        <f>'16. Необходими приходи'!I11+'16. Необходими приходи'!P11+'16. Необходими приходи'!W11</f>
        <v>17601.671462305934</v>
      </c>
      <c r="H9" s="818">
        <f>'16. Необходими приходи'!J11+'16. Необходими приходи'!Q11+'16. Необходими приходи'!X11</f>
        <v>18235.072600707761</v>
      </c>
    </row>
    <row r="10" spans="1:9">
      <c r="A10" s="2105" t="s">
        <v>1454</v>
      </c>
      <c r="B10" s="2246">
        <v>271</v>
      </c>
      <c r="C10" s="2246">
        <v>270</v>
      </c>
      <c r="D10" s="2243">
        <v>65</v>
      </c>
      <c r="E10" s="2243">
        <v>65</v>
      </c>
      <c r="F10" s="2243">
        <v>65</v>
      </c>
      <c r="G10" s="2243">
        <v>65</v>
      </c>
      <c r="H10" s="2243">
        <v>65</v>
      </c>
    </row>
    <row r="11" spans="1:9" ht="14.25" customHeight="1">
      <c r="A11" s="2108" t="s">
        <v>713</v>
      </c>
      <c r="B11" s="2246">
        <v>52</v>
      </c>
      <c r="C11" s="2246">
        <v>91</v>
      </c>
      <c r="D11" s="2243">
        <v>62</v>
      </c>
      <c r="E11" s="2243">
        <v>62</v>
      </c>
      <c r="F11" s="2243">
        <v>62</v>
      </c>
      <c r="G11" s="2243">
        <v>62</v>
      </c>
      <c r="H11" s="2243">
        <v>62</v>
      </c>
    </row>
    <row r="12" spans="1:9" ht="14.25" customHeight="1">
      <c r="A12" s="2108" t="s">
        <v>1451</v>
      </c>
      <c r="B12" s="2246">
        <v>2213</v>
      </c>
      <c r="C12" s="2246">
        <v>2029</v>
      </c>
      <c r="D12" s="2243">
        <v>0</v>
      </c>
      <c r="E12" s="2243">
        <v>0</v>
      </c>
      <c r="F12" s="2243">
        <v>0</v>
      </c>
      <c r="G12" s="2243">
        <v>0</v>
      </c>
      <c r="H12" s="2243">
        <v>0</v>
      </c>
    </row>
    <row r="13" spans="1:9" ht="14.25" customHeight="1">
      <c r="A13" s="2109" t="s">
        <v>1449</v>
      </c>
      <c r="B13" s="2246">
        <v>28</v>
      </c>
      <c r="C13" s="2246">
        <v>28</v>
      </c>
      <c r="D13" s="2243">
        <v>21</v>
      </c>
      <c r="E13" s="2243">
        <v>21</v>
      </c>
      <c r="F13" s="2243">
        <v>21</v>
      </c>
      <c r="G13" s="2243">
        <v>21</v>
      </c>
      <c r="H13" s="2243">
        <v>21</v>
      </c>
    </row>
    <row r="14" spans="1:9" ht="14.25" customHeight="1">
      <c r="A14" s="2109" t="s">
        <v>1450</v>
      </c>
      <c r="B14" s="2246">
        <v>60</v>
      </c>
      <c r="C14" s="2246">
        <v>65</v>
      </c>
      <c r="D14" s="2243">
        <v>76</v>
      </c>
      <c r="E14" s="782">
        <v>79</v>
      </c>
      <c r="F14" s="782">
        <v>79</v>
      </c>
      <c r="G14" s="782">
        <v>79</v>
      </c>
      <c r="H14" s="782">
        <v>79</v>
      </c>
    </row>
    <row r="15" spans="1:9">
      <c r="A15" s="2110" t="s">
        <v>714</v>
      </c>
      <c r="B15" s="2125">
        <f t="shared" ref="B15:H15" si="2">SUM(B16:B18)</f>
        <v>7</v>
      </c>
      <c r="C15" s="2119">
        <f t="shared" si="2"/>
        <v>9</v>
      </c>
      <c r="D15" s="2100">
        <f t="shared" si="2"/>
        <v>36</v>
      </c>
      <c r="E15" s="1162">
        <f t="shared" si="2"/>
        <v>36</v>
      </c>
      <c r="F15" s="1162">
        <f t="shared" si="2"/>
        <v>36</v>
      </c>
      <c r="G15" s="1162">
        <f t="shared" si="2"/>
        <v>36</v>
      </c>
      <c r="H15" s="2094">
        <f t="shared" si="2"/>
        <v>36</v>
      </c>
    </row>
    <row r="16" spans="1:9">
      <c r="A16" s="2106" t="s">
        <v>715</v>
      </c>
      <c r="B16" s="2246">
        <v>7</v>
      </c>
      <c r="C16" s="2246">
        <v>9</v>
      </c>
      <c r="D16" s="2243">
        <v>36</v>
      </c>
      <c r="E16" s="2243">
        <v>36</v>
      </c>
      <c r="F16" s="2243">
        <v>36</v>
      </c>
      <c r="G16" s="2243">
        <v>36</v>
      </c>
      <c r="H16" s="2243">
        <v>36</v>
      </c>
    </row>
    <row r="17" spans="1:9">
      <c r="A17" s="2106" t="s">
        <v>716</v>
      </c>
      <c r="B17" s="3115">
        <f>'10. Финансиране на ИП'!C15+'10. Финансиране на ИП'!C18+'10. Финансиране на ИП'!J15+'10. Финансиране на ИП'!J18+'10. Финансиране на ИП'!Q15+'10. Финансиране на ИП'!Q18</f>
        <v>0</v>
      </c>
      <c r="C17" s="3116">
        <f>'10. Финансиране на ИП'!D15+'10. Финансиране на ИП'!D18+'10. Финансиране на ИП'!K15+'10. Финансиране на ИП'!K18+'10. Финансиране на ИП'!R15+'10. Финансиране на ИП'!R18</f>
        <v>0</v>
      </c>
      <c r="D17" s="3117">
        <f>'10. Финансиране на ИП'!E15+'10. Финансиране на ИП'!E18+'10. Финансиране на ИП'!L15+'10. Финансиране на ИП'!L18+'10. Финансиране на ИП'!S15+'10. Финансиране на ИП'!S18</f>
        <v>0</v>
      </c>
      <c r="E17" s="3118">
        <f>'10. Финансиране на ИП'!F15+'10. Финансиране на ИП'!F18+'10. Финансиране на ИП'!M15+'10. Финансиране на ИП'!M18+'10. Финансиране на ИП'!T15+'10. Финансиране на ИП'!T18</f>
        <v>0</v>
      </c>
      <c r="F17" s="3118">
        <f>'10. Финансиране на ИП'!G15+'10. Финансиране на ИП'!G18+'10. Финансиране на ИП'!N15+'10. Финансиране на ИП'!N18+'10. Финансиране на ИП'!U15+'10. Финансиране на ИП'!U18</f>
        <v>0</v>
      </c>
      <c r="G17" s="3118">
        <f>'10. Финансиране на ИП'!H15+'10. Финансиране на ИП'!H18+'10. Финансиране на ИП'!O15+'10. Финансиране на ИП'!O18+'10. Финансиране на ИП'!V15+'10. Финансиране на ИП'!V18</f>
        <v>0</v>
      </c>
      <c r="H17" s="3119">
        <f>'10. Финансиране на ИП'!I15+'10. Финансиране на ИП'!I18+'10. Финансиране на ИП'!P15+'10. Финансиране на ИП'!P18+'10. Финансиране на ИП'!W15+'10. Финансиране на ИП'!W18</f>
        <v>0</v>
      </c>
    </row>
    <row r="18" spans="1:9">
      <c r="A18" s="2106" t="s">
        <v>717</v>
      </c>
      <c r="B18" s="2246">
        <v>0</v>
      </c>
      <c r="C18" s="2246">
        <v>0</v>
      </c>
      <c r="D18" s="2243">
        <v>0</v>
      </c>
      <c r="E18" s="2243">
        <v>0</v>
      </c>
      <c r="F18" s="2243">
        <v>0</v>
      </c>
      <c r="G18" s="2243">
        <v>0</v>
      </c>
      <c r="H18" s="2243">
        <v>0</v>
      </c>
    </row>
    <row r="19" spans="1:9" ht="14.25">
      <c r="A19" s="2111" t="s">
        <v>718</v>
      </c>
      <c r="B19" s="2124">
        <f>B20+B33+B36</f>
        <v>-16523</v>
      </c>
      <c r="C19" s="2118">
        <f>C20+C33+C36</f>
        <v>-16672.599999999999</v>
      </c>
      <c r="D19" s="2099">
        <f t="shared" ref="D19:H19" si="3">D20+D33+D36</f>
        <v>-17461.082441922375</v>
      </c>
      <c r="E19" s="1161">
        <f t="shared" si="3"/>
        <v>-16132.40605222146</v>
      </c>
      <c r="F19" s="1161">
        <f t="shared" si="3"/>
        <v>-15765.370279408677</v>
      </c>
      <c r="G19" s="1161">
        <f t="shared" si="3"/>
        <v>-15693.895187038814</v>
      </c>
      <c r="H19" s="2093">
        <f t="shared" si="3"/>
        <v>-16201.664626089043</v>
      </c>
      <c r="I19" s="185"/>
    </row>
    <row r="20" spans="1:9">
      <c r="A20" s="2104" t="s">
        <v>719</v>
      </c>
      <c r="B20" s="2125">
        <f>SUM(B21:B32)</f>
        <v>-12375</v>
      </c>
      <c r="C20" s="2119">
        <f>SUM(C21:C32)</f>
        <v>-14022</v>
      </c>
      <c r="D20" s="2100">
        <f>SUM(D21:D32)</f>
        <v>-15642.130000000001</v>
      </c>
      <c r="E20" s="1162">
        <f>SUM(E21:E32)</f>
        <v>-15988.130000000001</v>
      </c>
      <c r="F20" s="1162">
        <f t="shared" ref="F20:G20" si="4">SUM(F21:F32)</f>
        <v>-16155.630000000001</v>
      </c>
      <c r="G20" s="1162">
        <f t="shared" si="4"/>
        <v>-16173.130000000001</v>
      </c>
      <c r="H20" s="2094">
        <f>SUM(H21:H32)</f>
        <v>-16868.13</v>
      </c>
    </row>
    <row r="21" spans="1:9">
      <c r="A21" s="2106" t="s">
        <v>694</v>
      </c>
      <c r="B21" s="2246">
        <v>-3401</v>
      </c>
      <c r="C21" s="2120">
        <f>-'14. ОПР'!C24</f>
        <v>-3572</v>
      </c>
      <c r="D21" s="1465">
        <f>-'14. ОПР'!D24</f>
        <v>-3450.5</v>
      </c>
      <c r="E21" s="820">
        <f>-'14. ОПР'!E24</f>
        <v>-3503.5</v>
      </c>
      <c r="F21" s="820">
        <f>-'14. ОПР'!F24</f>
        <v>-3492</v>
      </c>
      <c r="G21" s="820">
        <f>-'14. ОПР'!G24</f>
        <v>-3468.5</v>
      </c>
      <c r="H21" s="818">
        <f>-'14. ОПР'!H24</f>
        <v>-3468.5</v>
      </c>
    </row>
    <row r="22" spans="1:9">
      <c r="A22" s="2106" t="s">
        <v>695</v>
      </c>
      <c r="B22" s="2246">
        <v>-3282</v>
      </c>
      <c r="C22" s="2120">
        <f>-'14. ОПР'!C25</f>
        <v>-2264</v>
      </c>
      <c r="D22" s="1465">
        <f>-'14. ОПР'!D25</f>
        <v>-2102</v>
      </c>
      <c r="E22" s="820">
        <f>-'14. ОПР'!E25</f>
        <v>-2102</v>
      </c>
      <c r="F22" s="820">
        <f>-'14. ОПР'!F25</f>
        <v>-2102</v>
      </c>
      <c r="G22" s="820">
        <f>-'14. ОПР'!G25</f>
        <v>-2043</v>
      </c>
      <c r="H22" s="818">
        <f>-'14. ОПР'!H25</f>
        <v>-1986</v>
      </c>
    </row>
    <row r="23" spans="1:9">
      <c r="A23" s="2106" t="s">
        <v>720</v>
      </c>
      <c r="B23" s="2246">
        <v>-3904</v>
      </c>
      <c r="C23" s="2120">
        <f>-'14. ОПР'!C26</f>
        <v>-4232</v>
      </c>
      <c r="D23" s="1465">
        <f>-'14. ОПР'!D26</f>
        <v>-5868</v>
      </c>
      <c r="E23" s="820">
        <f>-'14. ОПР'!E26</f>
        <v>-6112</v>
      </c>
      <c r="F23" s="820">
        <f>-'14. ОПР'!F26</f>
        <v>-6219</v>
      </c>
      <c r="G23" s="820">
        <f>-'14. ОПР'!G26</f>
        <v>-6310</v>
      </c>
      <c r="H23" s="818">
        <f>-'14. ОПР'!H26</f>
        <v>-6914</v>
      </c>
    </row>
    <row r="24" spans="1:9">
      <c r="A24" s="2106" t="s">
        <v>721</v>
      </c>
      <c r="B24" s="2246">
        <v>-985</v>
      </c>
      <c r="C24" s="2120">
        <f>-'14. ОПР'!C27</f>
        <v>-1233</v>
      </c>
      <c r="D24" s="1465">
        <f>-'14. ОПР'!D27</f>
        <v>-1521</v>
      </c>
      <c r="E24" s="820">
        <f>-'14. ОПР'!E27</f>
        <v>-1553</v>
      </c>
      <c r="F24" s="820">
        <f>-'14. ОПР'!F27</f>
        <v>-1611</v>
      </c>
      <c r="G24" s="820">
        <f>-'14. ОПР'!G27</f>
        <v>-1633</v>
      </c>
      <c r="H24" s="818">
        <f>-'14. ОПР'!H27</f>
        <v>-1790</v>
      </c>
    </row>
    <row r="25" spans="1:9">
      <c r="A25" s="2106" t="s">
        <v>722</v>
      </c>
      <c r="B25" s="2246">
        <v>-467</v>
      </c>
      <c r="C25" s="2120">
        <f>-('12. Разходи'!D69+'12. Разходи'!K69+'12. Разходи'!R69)</f>
        <v>-441</v>
      </c>
      <c r="D25" s="1465">
        <f>-('12. Разходи'!E69+'12. Разходи'!L69+'12. Разходи'!S69)</f>
        <v>-430</v>
      </c>
      <c r="E25" s="820">
        <f>-('12. Разходи'!F69+'12. Разходи'!M69+'12. Разходи'!T69)</f>
        <v>-430</v>
      </c>
      <c r="F25" s="820">
        <f>-('12. Разходи'!G69+'12. Разходи'!N69+'12. Разходи'!U69)</f>
        <v>-430</v>
      </c>
      <c r="G25" s="820">
        <f>-('12. Разходи'!H69+'12. Разходи'!O69+'12. Разходи'!V69)</f>
        <v>-410</v>
      </c>
      <c r="H25" s="818">
        <f>-('12. Разходи'!I69+'12. Разходи'!P69+'12. Разходи'!W69)</f>
        <v>-391</v>
      </c>
    </row>
    <row r="26" spans="1:9">
      <c r="A26" s="2106" t="s">
        <v>723</v>
      </c>
      <c r="B26" s="2246">
        <v>-15</v>
      </c>
      <c r="C26" s="2120">
        <f>-('12. Разходи'!D70+'12. Разходи'!K70+'12. Разходи'!R70)</f>
        <v>-16</v>
      </c>
      <c r="D26" s="1465">
        <f>-('12. Разходи'!E70+'12. Разходи'!L70+'12. Разходи'!S70)</f>
        <v>-15</v>
      </c>
      <c r="E26" s="820">
        <f>-('12. Разходи'!F70+'12. Разходи'!M70+'12. Разходи'!T70)</f>
        <v>-15</v>
      </c>
      <c r="F26" s="820">
        <f>-('12. Разходи'!G70+'12. Разходи'!N70+'12. Разходи'!U70)</f>
        <v>-15</v>
      </c>
      <c r="G26" s="820">
        <f>-('12. Разходи'!H70+'12. Разходи'!O70+'12. Разходи'!V70)</f>
        <v>-15</v>
      </c>
      <c r="H26" s="818">
        <f>-('12. Разходи'!I70+'12. Разходи'!P70+'12. Разходи'!W70)</f>
        <v>-15</v>
      </c>
    </row>
    <row r="27" spans="1:9">
      <c r="A27" s="2108" t="s">
        <v>724</v>
      </c>
      <c r="B27" s="2246">
        <v>-42</v>
      </c>
      <c r="C27" s="2120">
        <f>-('12. Разходи'!D68+'12. Разходи'!K68+'12. Разходи'!R68)</f>
        <v>-43</v>
      </c>
      <c r="D27" s="1465">
        <f>-('12. Разходи'!E68+'12. Разходи'!L68+'12. Разходи'!S68)</f>
        <v>-50</v>
      </c>
      <c r="E27" s="820">
        <f>-('12. Разходи'!F68+'12. Разходи'!M68+'12. Разходи'!T68)</f>
        <v>-50</v>
      </c>
      <c r="F27" s="820">
        <f>-('12. Разходи'!G68+'12. Разходи'!N68+'12. Разходи'!U68)</f>
        <v>-50</v>
      </c>
      <c r="G27" s="820">
        <f>-('12. Разходи'!H68+'12. Разходи'!O68+'12. Разходи'!V68)</f>
        <v>-48</v>
      </c>
      <c r="H27" s="818">
        <f>-('12. Разходи'!I68+'12. Разходи'!P68+'12. Разходи'!W68)</f>
        <v>-46</v>
      </c>
    </row>
    <row r="28" spans="1:9">
      <c r="A28" s="2108" t="s">
        <v>725</v>
      </c>
      <c r="B28" s="2246">
        <v>-166</v>
      </c>
      <c r="C28" s="2120">
        <f>-'14. ОПР'!C31-'14. ОПР'!C32-SUM(C25:C27)</f>
        <v>-249</v>
      </c>
      <c r="D28" s="1465">
        <f>-'14. ОПР'!D31-'14. ОПР'!D32-SUM(D25:D27)</f>
        <v>-258</v>
      </c>
      <c r="E28" s="820">
        <f>-'14. ОПР'!E31-'14. ОПР'!E32-SUM(E25:E27)</f>
        <v>-258</v>
      </c>
      <c r="F28" s="820">
        <f>-'14. ОПР'!F31-'14. ОПР'!F32-SUM(F25:F27)</f>
        <v>-258</v>
      </c>
      <c r="G28" s="820">
        <f>-'14. ОПР'!G31-'14. ОПР'!G32-SUM(G25:G27)</f>
        <v>-258</v>
      </c>
      <c r="H28" s="818">
        <f>-'14. ОПР'!H31-'14. ОПР'!H32-SUM(H25:H27)</f>
        <v>-258</v>
      </c>
    </row>
    <row r="29" spans="1:9">
      <c r="A29" s="2108" t="s">
        <v>288</v>
      </c>
      <c r="B29" s="2246">
        <v>0</v>
      </c>
      <c r="C29" s="2121">
        <f>-'14. ОПР'!C33</f>
        <v>-1853</v>
      </c>
      <c r="D29" s="2101">
        <f>-'14. ОПР'!D33</f>
        <v>-1827.63</v>
      </c>
      <c r="E29" s="1163">
        <f>-'14. ОПР'!E33</f>
        <v>-1844.63</v>
      </c>
      <c r="F29" s="1163">
        <f>-'14. ОПР'!F33</f>
        <v>-1858.63</v>
      </c>
      <c r="G29" s="1163">
        <f>-'14. ОПР'!G33</f>
        <v>-1867.63</v>
      </c>
      <c r="H29" s="2095">
        <f>-'14. ОПР'!H33</f>
        <v>-1879.63</v>
      </c>
    </row>
    <row r="30" spans="1:9">
      <c r="A30" s="2109" t="s">
        <v>1444</v>
      </c>
      <c r="B30" s="2246">
        <v>-33</v>
      </c>
      <c r="C30" s="2246">
        <v>-33</v>
      </c>
      <c r="D30" s="2246">
        <v>-33</v>
      </c>
      <c r="E30" s="2246">
        <v>-33</v>
      </c>
      <c r="F30" s="2246">
        <v>-33</v>
      </c>
      <c r="G30" s="2246">
        <v>-33</v>
      </c>
      <c r="H30" s="2246">
        <v>-33</v>
      </c>
    </row>
    <row r="31" spans="1:9">
      <c r="A31" s="2109" t="s">
        <v>1445</v>
      </c>
      <c r="B31" s="2246">
        <v>-17</v>
      </c>
      <c r="C31" s="2121">
        <f>-'14. ОПР'!C35</f>
        <v>-23</v>
      </c>
      <c r="D31" s="2101">
        <f>-'14. ОПР'!D35</f>
        <v>-19</v>
      </c>
      <c r="E31" s="1163">
        <f>-'14. ОПР'!E35</f>
        <v>-19</v>
      </c>
      <c r="F31" s="1163">
        <f>-'14. ОПР'!F35</f>
        <v>-19</v>
      </c>
      <c r="G31" s="1163">
        <f>-'14. ОПР'!G35</f>
        <v>-19</v>
      </c>
      <c r="H31" s="2095">
        <f>-'14. ОПР'!H35</f>
        <v>-19</v>
      </c>
    </row>
    <row r="32" spans="1:9">
      <c r="A32" s="2109" t="s">
        <v>1446</v>
      </c>
      <c r="B32" s="2246">
        <v>-63</v>
      </c>
      <c r="C32" s="2121">
        <f>-'14. ОПР'!C36</f>
        <v>-63</v>
      </c>
      <c r="D32" s="2101">
        <f>-'14. ОПР'!D36</f>
        <v>-68</v>
      </c>
      <c r="E32" s="1163">
        <f>-'14. ОПР'!E36</f>
        <v>-68</v>
      </c>
      <c r="F32" s="1163">
        <f>-'14. ОПР'!F36</f>
        <v>-68</v>
      </c>
      <c r="G32" s="1163">
        <f>-'14. ОПР'!G36</f>
        <v>-68</v>
      </c>
      <c r="H32" s="2095">
        <f>-'14. ОПР'!H36</f>
        <v>-68</v>
      </c>
    </row>
    <row r="33" spans="1:9">
      <c r="A33" s="2112" t="s">
        <v>726</v>
      </c>
      <c r="B33" s="2125">
        <f>SUM(B34:B35)</f>
        <v>-2759</v>
      </c>
      <c r="C33" s="2119">
        <f t="shared" ref="C33:H33" si="5">SUM(C34:C35)</f>
        <v>-3640</v>
      </c>
      <c r="D33" s="2100">
        <f t="shared" si="5"/>
        <v>-2961</v>
      </c>
      <c r="E33" s="1162">
        <f t="shared" si="5"/>
        <v>-1631</v>
      </c>
      <c r="F33" s="1162">
        <f t="shared" si="5"/>
        <v>-1207</v>
      </c>
      <c r="G33" s="1162">
        <f t="shared" si="5"/>
        <v>-1141</v>
      </c>
      <c r="H33" s="2094">
        <f t="shared" si="5"/>
        <v>-1098</v>
      </c>
    </row>
    <row r="34" spans="1:9">
      <c r="A34" s="2106" t="s">
        <v>409</v>
      </c>
      <c r="B34" s="2246">
        <v>-2598</v>
      </c>
      <c r="C34" s="2120">
        <f>-'9.Инвестиционна програма'!F68</f>
        <v>-3640</v>
      </c>
      <c r="D34" s="1465">
        <f>-'9.Инвестиционна програма'!G68</f>
        <v>-2961</v>
      </c>
      <c r="E34" s="820">
        <f>-'9.Инвестиционна програма'!H68</f>
        <v>-1631</v>
      </c>
      <c r="F34" s="820">
        <f>-'9.Инвестиционна програма'!I68</f>
        <v>-1207</v>
      </c>
      <c r="G34" s="820">
        <f>-'9.Инвестиционна програма'!J68</f>
        <v>-1141</v>
      </c>
      <c r="H34" s="818">
        <f>-'9.Инвестиционна програма'!K68</f>
        <v>-1098</v>
      </c>
    </row>
    <row r="35" spans="1:9">
      <c r="A35" s="2113" t="s">
        <v>727</v>
      </c>
      <c r="B35" s="2246">
        <v>-161</v>
      </c>
      <c r="C35" s="2246">
        <v>0</v>
      </c>
      <c r="D35" s="2246">
        <v>0</v>
      </c>
      <c r="E35" s="2246">
        <v>0</v>
      </c>
      <c r="F35" s="2246">
        <v>0</v>
      </c>
      <c r="G35" s="2246">
        <v>0</v>
      </c>
      <c r="H35" s="2246">
        <v>0</v>
      </c>
    </row>
    <row r="36" spans="1:9">
      <c r="A36" s="2112" t="s">
        <v>728</v>
      </c>
      <c r="B36" s="2125">
        <f t="shared" ref="B36:H36" si="6">SUM(B37:B42)</f>
        <v>-1389</v>
      </c>
      <c r="C36" s="2119">
        <f t="shared" si="6"/>
        <v>989.40000000000009</v>
      </c>
      <c r="D36" s="2100">
        <f t="shared" si="6"/>
        <v>1142.0475580776254</v>
      </c>
      <c r="E36" s="1162">
        <f t="shared" si="6"/>
        <v>1486.7239477785397</v>
      </c>
      <c r="F36" s="1162">
        <f t="shared" si="6"/>
        <v>1597.2597205913239</v>
      </c>
      <c r="G36" s="1162">
        <f t="shared" si="6"/>
        <v>1620.2348129611869</v>
      </c>
      <c r="H36" s="2094">
        <f t="shared" si="6"/>
        <v>1764.4653739109585</v>
      </c>
    </row>
    <row r="37" spans="1:9">
      <c r="A37" s="2106" t="s">
        <v>729</v>
      </c>
      <c r="B37" s="2127">
        <f>-'14. ОПР'!B38</f>
        <v>0</v>
      </c>
      <c r="C37" s="2121">
        <f>-'14. ОПР'!C38</f>
        <v>0</v>
      </c>
      <c r="D37" s="2101">
        <f>-'14. ОПР'!D38</f>
        <v>0</v>
      </c>
      <c r="E37" s="1163">
        <f>-'14. ОПР'!E38</f>
        <v>0</v>
      </c>
      <c r="F37" s="1163">
        <f>-'14. ОПР'!F38</f>
        <v>0</v>
      </c>
      <c r="G37" s="1163">
        <f>-'14. ОПР'!G38</f>
        <v>0</v>
      </c>
      <c r="H37" s="2095">
        <f>-'14. ОПР'!H38</f>
        <v>0</v>
      </c>
    </row>
    <row r="38" spans="1:9">
      <c r="A38" s="2106" t="s">
        <v>730</v>
      </c>
      <c r="B38" s="2246">
        <v>0</v>
      </c>
      <c r="C38" s="2246">
        <v>0</v>
      </c>
      <c r="D38" s="2246">
        <v>0</v>
      </c>
      <c r="E38" s="2246">
        <v>0</v>
      </c>
      <c r="F38" s="2246">
        <v>0</v>
      </c>
      <c r="G38" s="2246">
        <v>0</v>
      </c>
      <c r="H38" s="2246">
        <v>0</v>
      </c>
    </row>
    <row r="39" spans="1:9">
      <c r="A39" s="2113" t="s">
        <v>731</v>
      </c>
      <c r="B39" s="2246">
        <v>0</v>
      </c>
      <c r="C39" s="2246">
        <v>0</v>
      </c>
      <c r="D39" s="2243">
        <v>-55</v>
      </c>
      <c r="E39" s="782">
        <v>-55</v>
      </c>
      <c r="F39" s="782">
        <v>-55</v>
      </c>
      <c r="G39" s="782">
        <v>-55</v>
      </c>
      <c r="H39" s="2282">
        <v>-55</v>
      </c>
    </row>
    <row r="40" spans="1:9">
      <c r="A40" s="2113" t="s">
        <v>732</v>
      </c>
      <c r="B40" s="2246">
        <v>-144</v>
      </c>
      <c r="C40" s="2120">
        <f>-'14. ОПР'!B44</f>
        <v>-126</v>
      </c>
      <c r="D40" s="1465">
        <f>-'14. ОПР'!C44</f>
        <v>-36.845500000000179</v>
      </c>
      <c r="E40" s="820">
        <f>-'14. ОПР'!D44</f>
        <v>-36.984529038812255</v>
      </c>
      <c r="F40" s="820">
        <f>-'14. ОПР'!E44</f>
        <v>-38.33523840867565</v>
      </c>
      <c r="G40" s="820">
        <f>-'14. ОПР'!F44</f>
        <v>-39.473479500000032</v>
      </c>
      <c r="H40" s="818">
        <f>-'14. ОПР'!G44</f>
        <v>-39.523146230593198</v>
      </c>
    </row>
    <row r="41" spans="1:9">
      <c r="A41" s="2113" t="s">
        <v>733</v>
      </c>
      <c r="B41" s="2246">
        <v>-1245</v>
      </c>
      <c r="C41" s="3116">
        <f>20%*(C9+C11+C12+C13+C14)+20%*(C21+C22+C28+C29+C31+C32+C34)</f>
        <v>1115.4000000000001</v>
      </c>
      <c r="D41" s="3117">
        <f t="shared" ref="D41:H41" si="7">20%*(D9+D11+D12+D13+D14)+20%*(D21+D22+D28+D29+D31+D32+D34)</f>
        <v>1298.8930580776255</v>
      </c>
      <c r="E41" s="3118">
        <f t="shared" si="7"/>
        <v>1643.708476817352</v>
      </c>
      <c r="F41" s="3118">
        <f t="shared" si="7"/>
        <v>1755.5949589999996</v>
      </c>
      <c r="G41" s="3118">
        <f t="shared" si="7"/>
        <v>1779.7082924611868</v>
      </c>
      <c r="H41" s="3119">
        <f t="shared" si="7"/>
        <v>1923.9885201415518</v>
      </c>
    </row>
    <row r="42" spans="1:9">
      <c r="A42" s="2113" t="s">
        <v>734</v>
      </c>
      <c r="B42" s="2246">
        <v>0</v>
      </c>
      <c r="C42" s="2246">
        <v>0</v>
      </c>
      <c r="D42" s="2246">
        <v>-65</v>
      </c>
      <c r="E42" s="2246">
        <v>-65</v>
      </c>
      <c r="F42" s="2246">
        <v>-65</v>
      </c>
      <c r="G42" s="2246">
        <v>-65</v>
      </c>
      <c r="H42" s="2246">
        <v>-65</v>
      </c>
    </row>
    <row r="43" spans="1:9" ht="14.25">
      <c r="A43" s="2147" t="s">
        <v>735</v>
      </c>
      <c r="B43" s="2124">
        <f t="shared" ref="B43:H43" si="8">B8+B20</f>
        <v>4516</v>
      </c>
      <c r="C43" s="2118">
        <f t="shared" si="8"/>
        <v>3489</v>
      </c>
      <c r="D43" s="2099">
        <f t="shared" si="8"/>
        <v>1603.4652903881251</v>
      </c>
      <c r="E43" s="1161">
        <f t="shared" si="8"/>
        <v>1721.5423840867588</v>
      </c>
      <c r="F43" s="1161">
        <f t="shared" si="8"/>
        <v>1691.9747949999983</v>
      </c>
      <c r="G43" s="1161">
        <f t="shared" si="8"/>
        <v>1655.5414623059332</v>
      </c>
      <c r="H43" s="2093">
        <f t="shared" si="8"/>
        <v>1593.94260070776</v>
      </c>
      <c r="I43" s="185"/>
    </row>
    <row r="44" spans="1:9" ht="14.25">
      <c r="A44" s="2147" t="s">
        <v>736</v>
      </c>
      <c r="B44" s="2124">
        <f>B43+B33</f>
        <v>1757</v>
      </c>
      <c r="C44" s="2118">
        <f t="shared" ref="C44:H44" si="9">C43+C33</f>
        <v>-151</v>
      </c>
      <c r="D44" s="2099">
        <f t="shared" si="9"/>
        <v>-1357.5347096118749</v>
      </c>
      <c r="E44" s="1161">
        <f t="shared" si="9"/>
        <v>90.54238408675883</v>
      </c>
      <c r="F44" s="1161">
        <f t="shared" si="9"/>
        <v>484.97479499999827</v>
      </c>
      <c r="G44" s="1161">
        <f t="shared" si="9"/>
        <v>514.54146230593324</v>
      </c>
      <c r="H44" s="2093">
        <f t="shared" si="9"/>
        <v>495.94260070775999</v>
      </c>
      <c r="I44" s="185"/>
    </row>
    <row r="45" spans="1:9" ht="14.25">
      <c r="A45" s="2147" t="s">
        <v>737</v>
      </c>
      <c r="B45" s="2124">
        <f>B44+(B15+B36)</f>
        <v>375</v>
      </c>
      <c r="C45" s="2118">
        <f t="shared" ref="C45:H45" si="10">C44+(C15+C36)</f>
        <v>847.40000000000009</v>
      </c>
      <c r="D45" s="2099">
        <f t="shared" si="10"/>
        <v>-179.48715153424951</v>
      </c>
      <c r="E45" s="1161">
        <f t="shared" si="10"/>
        <v>1613.2663318652985</v>
      </c>
      <c r="F45" s="1161">
        <f t="shared" si="10"/>
        <v>2118.2345155913222</v>
      </c>
      <c r="G45" s="1161">
        <f t="shared" si="10"/>
        <v>2170.7762752671201</v>
      </c>
      <c r="H45" s="2093">
        <f t="shared" si="10"/>
        <v>2296.4079746187185</v>
      </c>
      <c r="I45" s="185"/>
    </row>
    <row r="46" spans="1:9">
      <c r="A46" s="2148" t="s">
        <v>738</v>
      </c>
      <c r="B46" s="2246">
        <v>3291</v>
      </c>
      <c r="C46" s="2150">
        <f>B47</f>
        <v>3666</v>
      </c>
      <c r="D46" s="2145">
        <f>C47</f>
        <v>4513.3999999999996</v>
      </c>
      <c r="E46" s="1165">
        <f t="shared" ref="E46:G46" si="11">D47</f>
        <v>4333.9128484657504</v>
      </c>
      <c r="F46" s="1165">
        <f t="shared" si="11"/>
        <v>5947.1791803310489</v>
      </c>
      <c r="G46" s="1165">
        <f t="shared" si="11"/>
        <v>8065.4136959223706</v>
      </c>
      <c r="H46" s="2142">
        <f>G47</f>
        <v>10236.189971189491</v>
      </c>
    </row>
    <row r="47" spans="1:9" ht="13.5" thickBot="1">
      <c r="A47" s="2149" t="s">
        <v>739</v>
      </c>
      <c r="B47" s="2152">
        <f>SUM(B45:B46)</f>
        <v>3666</v>
      </c>
      <c r="C47" s="2151">
        <f>SUM(C45:C46)</f>
        <v>4513.3999999999996</v>
      </c>
      <c r="D47" s="2146">
        <f t="shared" ref="D47:H47" si="12">SUM(D45:D46)</f>
        <v>4333.9128484657504</v>
      </c>
      <c r="E47" s="2143">
        <f t="shared" si="12"/>
        <v>5947.1791803310489</v>
      </c>
      <c r="F47" s="2143">
        <f t="shared" si="12"/>
        <v>8065.4136959223706</v>
      </c>
      <c r="G47" s="2143">
        <f t="shared" si="12"/>
        <v>10236.189971189491</v>
      </c>
      <c r="H47" s="2144">
        <f t="shared" si="12"/>
        <v>12532.597945808209</v>
      </c>
    </row>
    <row r="48" spans="1:9">
      <c r="A48" s="191"/>
      <c r="B48" s="191"/>
      <c r="C48" s="192"/>
      <c r="D48" s="193"/>
      <c r="E48" s="193"/>
      <c r="F48" s="193"/>
    </row>
    <row r="50" spans="1:13" s="199" customFormat="1">
      <c r="A50" s="194"/>
      <c r="B50" s="194"/>
      <c r="C50" s="194"/>
      <c r="D50" s="292" t="str">
        <f>'14. ОПР'!D49</f>
        <v>Главен счетоводител:</v>
      </c>
      <c r="E50" s="289"/>
      <c r="F50" s="219" t="s">
        <v>262</v>
      </c>
      <c r="I50" s="217"/>
      <c r="K50" s="390"/>
      <c r="L50" s="391"/>
      <c r="M50" s="194"/>
    </row>
    <row r="51" spans="1:13" s="199" customFormat="1">
      <c r="A51" s="214" t="str">
        <f>'14. ОПР'!A50</f>
        <v>Дата: 27.06.2016г.</v>
      </c>
      <c r="B51" s="221"/>
      <c r="C51" s="221"/>
      <c r="D51" s="288"/>
      <c r="E51" s="220"/>
      <c r="F51" s="290"/>
      <c r="G51" s="291" t="s">
        <v>5</v>
      </c>
      <c r="I51" s="217"/>
      <c r="K51" s="390"/>
      <c r="L51" s="391"/>
      <c r="M51" s="194"/>
    </row>
    <row r="52" spans="1:13" s="199" customFormat="1">
      <c r="A52" s="212"/>
      <c r="B52" s="212"/>
      <c r="C52" s="212"/>
      <c r="D52" s="288"/>
      <c r="E52" s="220"/>
      <c r="F52" s="290"/>
      <c r="G52" s="291"/>
      <c r="I52" s="217"/>
      <c r="K52" s="392"/>
      <c r="L52" s="391"/>
      <c r="M52" s="194"/>
    </row>
    <row r="53" spans="1:13" s="199" customFormat="1">
      <c r="A53" s="221"/>
      <c r="B53" s="221"/>
      <c r="C53" s="221"/>
      <c r="D53" s="288"/>
      <c r="E53" s="220"/>
      <c r="F53" s="290"/>
      <c r="G53" s="291"/>
      <c r="I53" s="217"/>
      <c r="K53" s="392"/>
      <c r="L53" s="391"/>
      <c r="M53" s="194"/>
    </row>
    <row r="54" spans="1:13" s="199" customFormat="1">
      <c r="A54" s="221"/>
      <c r="B54" s="221"/>
      <c r="C54" s="221"/>
      <c r="D54" s="288"/>
      <c r="E54" s="220"/>
      <c r="F54" s="290"/>
      <c r="G54" s="291"/>
      <c r="I54" s="217"/>
      <c r="K54" s="390"/>
      <c r="L54" s="391"/>
      <c r="M54" s="194"/>
    </row>
    <row r="55" spans="1:13" s="199" customFormat="1" ht="15">
      <c r="A55" s="221"/>
      <c r="B55" s="221"/>
      <c r="C55" s="221"/>
      <c r="D55" s="352"/>
      <c r="E55" s="292" t="str">
        <f>'14. ОПР'!E54</f>
        <v>Управител:</v>
      </c>
      <c r="F55" s="219" t="s">
        <v>262</v>
      </c>
      <c r="G55" s="217"/>
      <c r="I55" s="217"/>
      <c r="K55" s="390"/>
      <c r="L55" s="391"/>
      <c r="M55" s="194"/>
    </row>
    <row r="56" spans="1:13" s="199" customFormat="1">
      <c r="A56" s="221"/>
      <c r="B56" s="221"/>
      <c r="C56" s="221"/>
      <c r="D56" s="288"/>
      <c r="E56" s="293"/>
      <c r="F56" s="290"/>
      <c r="G56" s="291" t="s">
        <v>6</v>
      </c>
      <c r="I56" s="290"/>
      <c r="K56" s="390"/>
      <c r="L56" s="391"/>
      <c r="M56" s="194"/>
    </row>
    <row r="57" spans="1:13" s="199" customFormat="1">
      <c r="A57" s="3592" t="s">
        <v>247</v>
      </c>
      <c r="B57" s="3592"/>
      <c r="C57" s="3592"/>
      <c r="D57" s="3592"/>
      <c r="E57" s="176"/>
      <c r="F57" s="176"/>
      <c r="G57" s="176"/>
      <c r="H57" s="176"/>
      <c r="K57" s="390"/>
      <c r="L57" s="391"/>
      <c r="M57" s="194"/>
    </row>
    <row r="58" spans="1:13" s="199" customFormat="1">
      <c r="A58" s="3436" t="s">
        <v>248</v>
      </c>
      <c r="B58" s="3436"/>
      <c r="C58" s="3436"/>
      <c r="D58" s="3436"/>
      <c r="E58" s="176"/>
      <c r="F58" s="176"/>
      <c r="G58" s="176"/>
      <c r="H58" s="176"/>
      <c r="K58" s="393"/>
      <c r="L58" s="194"/>
      <c r="M58" s="194"/>
    </row>
    <row r="59" spans="1:13">
      <c r="A59" s="3594" t="s">
        <v>974</v>
      </c>
      <c r="B59" s="3594"/>
      <c r="C59" s="3594"/>
      <c r="D59" s="3594"/>
    </row>
    <row r="60" spans="1:13">
      <c r="A60" s="3591" t="s">
        <v>1539</v>
      </c>
      <c r="B60" s="3591"/>
      <c r="C60" s="3591"/>
    </row>
  </sheetData>
  <sheetProtection password="C6DB" sheet="1" objects="1" scenarios="1" formatCells="0" formatColumns="0" formatRows="0"/>
  <mergeCells count="7">
    <mergeCell ref="A60:C60"/>
    <mergeCell ref="A59:D59"/>
    <mergeCell ref="A57:D57"/>
    <mergeCell ref="A58:D58"/>
    <mergeCell ref="A2:F2"/>
    <mergeCell ref="A3:F3"/>
    <mergeCell ref="A4:F4"/>
  </mergeCells>
  <printOptions horizontalCentered="1"/>
  <pageMargins left="0.51181102362204722" right="0.31496062992125984" top="0.74803149606299213" bottom="0.55118110236220474" header="0.31496062992125984" footer="0.31496062992125984"/>
  <pageSetup paperSize="9" scale="75" orientation="portrait" verticalDpi="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0070C0"/>
  </sheetPr>
  <dimension ref="A1:X41"/>
  <sheetViews>
    <sheetView showGridLines="0" view="pageBreakPreview" zoomScaleNormal="100" zoomScaleSheetLayoutView="100" workbookViewId="0">
      <selection activeCell="J26" sqref="J26"/>
    </sheetView>
  </sheetViews>
  <sheetFormatPr defaultRowHeight="12.75"/>
  <cols>
    <col min="1" max="1" width="6.42578125" customWidth="1"/>
    <col min="2" max="2" width="47" customWidth="1"/>
    <col min="3" max="3" width="10.28515625" style="1851" customWidth="1"/>
    <col min="4" max="4" width="7.5703125" style="1851" customWidth="1"/>
    <col min="5" max="5" width="7.140625" style="1851" customWidth="1"/>
    <col min="6" max="6" width="6.42578125" style="1851" customWidth="1"/>
    <col min="7" max="7" width="7" style="1851" customWidth="1"/>
    <col min="8" max="10" width="7.7109375" style="1851" customWidth="1"/>
    <col min="11" max="12" width="6" style="1851" bestFit="1" customWidth="1"/>
    <col min="13" max="13" width="6.42578125" style="1851" customWidth="1"/>
    <col min="14" max="14" width="6.5703125" style="1851" customWidth="1"/>
    <col min="15" max="15" width="6.42578125" style="1851" customWidth="1"/>
    <col min="16" max="16" width="6.7109375" style="1851" customWidth="1"/>
    <col min="17" max="17" width="6.5703125" style="1851" customWidth="1"/>
    <col min="18" max="19" width="6" style="1851" customWidth="1"/>
    <col min="20" max="21" width="6.42578125" style="1851" customWidth="1"/>
    <col min="22" max="22" width="6.5703125" style="1851" customWidth="1"/>
    <col min="23" max="23" width="6.42578125" style="1851" customWidth="1"/>
    <col min="24" max="24" width="7" style="1851" customWidth="1"/>
    <col min="270" max="270" width="6.42578125" customWidth="1"/>
    <col min="271" max="271" width="60.5703125" customWidth="1"/>
    <col min="272" max="272" width="10.28515625" customWidth="1"/>
    <col min="273" max="273" width="13.85546875" customWidth="1"/>
    <col min="274" max="274" width="13.5703125" customWidth="1"/>
    <col min="275" max="275" width="14.140625" customWidth="1"/>
    <col min="276" max="276" width="8.28515625" customWidth="1"/>
    <col min="277" max="277" width="11" customWidth="1"/>
    <col min="526" max="526" width="6.42578125" customWidth="1"/>
    <col min="527" max="527" width="60.5703125" customWidth="1"/>
    <col min="528" max="528" width="10.28515625" customWidth="1"/>
    <col min="529" max="529" width="13.85546875" customWidth="1"/>
    <col min="530" max="530" width="13.5703125" customWidth="1"/>
    <col min="531" max="531" width="14.140625" customWidth="1"/>
    <col min="532" max="532" width="8.28515625" customWidth="1"/>
    <col min="533" max="533" width="11" customWidth="1"/>
    <col min="782" max="782" width="6.42578125" customWidth="1"/>
    <col min="783" max="783" width="60.5703125" customWidth="1"/>
    <col min="784" max="784" width="10.28515625" customWidth="1"/>
    <col min="785" max="785" width="13.85546875" customWidth="1"/>
    <col min="786" max="786" width="13.5703125" customWidth="1"/>
    <col min="787" max="787" width="14.140625" customWidth="1"/>
    <col min="788" max="788" width="8.28515625" customWidth="1"/>
    <col min="789" max="789" width="11" customWidth="1"/>
    <col min="1038" max="1038" width="6.42578125" customWidth="1"/>
    <col min="1039" max="1039" width="60.5703125" customWidth="1"/>
    <col min="1040" max="1040" width="10.28515625" customWidth="1"/>
    <col min="1041" max="1041" width="13.85546875" customWidth="1"/>
    <col min="1042" max="1042" width="13.5703125" customWidth="1"/>
    <col min="1043" max="1043" width="14.140625" customWidth="1"/>
    <col min="1044" max="1044" width="8.28515625" customWidth="1"/>
    <col min="1045" max="1045" width="11" customWidth="1"/>
    <col min="1294" max="1294" width="6.42578125" customWidth="1"/>
    <col min="1295" max="1295" width="60.5703125" customWidth="1"/>
    <col min="1296" max="1296" width="10.28515625" customWidth="1"/>
    <col min="1297" max="1297" width="13.85546875" customWidth="1"/>
    <col min="1298" max="1298" width="13.5703125" customWidth="1"/>
    <col min="1299" max="1299" width="14.140625" customWidth="1"/>
    <col min="1300" max="1300" width="8.28515625" customWidth="1"/>
    <col min="1301" max="1301" width="11" customWidth="1"/>
    <col min="1550" max="1550" width="6.42578125" customWidth="1"/>
    <col min="1551" max="1551" width="60.5703125" customWidth="1"/>
    <col min="1552" max="1552" width="10.28515625" customWidth="1"/>
    <col min="1553" max="1553" width="13.85546875" customWidth="1"/>
    <col min="1554" max="1554" width="13.5703125" customWidth="1"/>
    <col min="1555" max="1555" width="14.140625" customWidth="1"/>
    <col min="1556" max="1556" width="8.28515625" customWidth="1"/>
    <col min="1557" max="1557" width="11" customWidth="1"/>
    <col min="1806" max="1806" width="6.42578125" customWidth="1"/>
    <col min="1807" max="1807" width="60.5703125" customWidth="1"/>
    <col min="1808" max="1808" width="10.28515625" customWidth="1"/>
    <col min="1809" max="1809" width="13.85546875" customWidth="1"/>
    <col min="1810" max="1810" width="13.5703125" customWidth="1"/>
    <col min="1811" max="1811" width="14.140625" customWidth="1"/>
    <col min="1812" max="1812" width="8.28515625" customWidth="1"/>
    <col min="1813" max="1813" width="11" customWidth="1"/>
    <col min="2062" max="2062" width="6.42578125" customWidth="1"/>
    <col min="2063" max="2063" width="60.5703125" customWidth="1"/>
    <col min="2064" max="2064" width="10.28515625" customWidth="1"/>
    <col min="2065" max="2065" width="13.85546875" customWidth="1"/>
    <col min="2066" max="2066" width="13.5703125" customWidth="1"/>
    <col min="2067" max="2067" width="14.140625" customWidth="1"/>
    <col min="2068" max="2068" width="8.28515625" customWidth="1"/>
    <col min="2069" max="2069" width="11" customWidth="1"/>
    <col min="2318" max="2318" width="6.42578125" customWidth="1"/>
    <col min="2319" max="2319" width="60.5703125" customWidth="1"/>
    <col min="2320" max="2320" width="10.28515625" customWidth="1"/>
    <col min="2321" max="2321" width="13.85546875" customWidth="1"/>
    <col min="2322" max="2322" width="13.5703125" customWidth="1"/>
    <col min="2323" max="2323" width="14.140625" customWidth="1"/>
    <col min="2324" max="2324" width="8.28515625" customWidth="1"/>
    <col min="2325" max="2325" width="11" customWidth="1"/>
    <col min="2574" max="2574" width="6.42578125" customWidth="1"/>
    <col min="2575" max="2575" width="60.5703125" customWidth="1"/>
    <col min="2576" max="2576" width="10.28515625" customWidth="1"/>
    <col min="2577" max="2577" width="13.85546875" customWidth="1"/>
    <col min="2578" max="2578" width="13.5703125" customWidth="1"/>
    <col min="2579" max="2579" width="14.140625" customWidth="1"/>
    <col min="2580" max="2580" width="8.28515625" customWidth="1"/>
    <col min="2581" max="2581" width="11" customWidth="1"/>
    <col min="2830" max="2830" width="6.42578125" customWidth="1"/>
    <col min="2831" max="2831" width="60.5703125" customWidth="1"/>
    <col min="2832" max="2832" width="10.28515625" customWidth="1"/>
    <col min="2833" max="2833" width="13.85546875" customWidth="1"/>
    <col min="2834" max="2834" width="13.5703125" customWidth="1"/>
    <col min="2835" max="2835" width="14.140625" customWidth="1"/>
    <col min="2836" max="2836" width="8.28515625" customWidth="1"/>
    <col min="2837" max="2837" width="11" customWidth="1"/>
    <col min="3086" max="3086" width="6.42578125" customWidth="1"/>
    <col min="3087" max="3087" width="60.5703125" customWidth="1"/>
    <col min="3088" max="3088" width="10.28515625" customWidth="1"/>
    <col min="3089" max="3089" width="13.85546875" customWidth="1"/>
    <col min="3090" max="3090" width="13.5703125" customWidth="1"/>
    <col min="3091" max="3091" width="14.140625" customWidth="1"/>
    <col min="3092" max="3092" width="8.28515625" customWidth="1"/>
    <col min="3093" max="3093" width="11" customWidth="1"/>
    <col min="3342" max="3342" width="6.42578125" customWidth="1"/>
    <col min="3343" max="3343" width="60.5703125" customWidth="1"/>
    <col min="3344" max="3344" width="10.28515625" customWidth="1"/>
    <col min="3345" max="3345" width="13.85546875" customWidth="1"/>
    <col min="3346" max="3346" width="13.5703125" customWidth="1"/>
    <col min="3347" max="3347" width="14.140625" customWidth="1"/>
    <col min="3348" max="3348" width="8.28515625" customWidth="1"/>
    <col min="3349" max="3349" width="11" customWidth="1"/>
    <col min="3598" max="3598" width="6.42578125" customWidth="1"/>
    <col min="3599" max="3599" width="60.5703125" customWidth="1"/>
    <col min="3600" max="3600" width="10.28515625" customWidth="1"/>
    <col min="3601" max="3601" width="13.85546875" customWidth="1"/>
    <col min="3602" max="3602" width="13.5703125" customWidth="1"/>
    <col min="3603" max="3603" width="14.140625" customWidth="1"/>
    <col min="3604" max="3604" width="8.28515625" customWidth="1"/>
    <col min="3605" max="3605" width="11" customWidth="1"/>
    <col min="3854" max="3854" width="6.42578125" customWidth="1"/>
    <col min="3855" max="3855" width="60.5703125" customWidth="1"/>
    <col min="3856" max="3856" width="10.28515625" customWidth="1"/>
    <col min="3857" max="3857" width="13.85546875" customWidth="1"/>
    <col min="3858" max="3858" width="13.5703125" customWidth="1"/>
    <col min="3859" max="3859" width="14.140625" customWidth="1"/>
    <col min="3860" max="3860" width="8.28515625" customWidth="1"/>
    <col min="3861" max="3861" width="11" customWidth="1"/>
    <col min="4110" max="4110" width="6.42578125" customWidth="1"/>
    <col min="4111" max="4111" width="60.5703125" customWidth="1"/>
    <col min="4112" max="4112" width="10.28515625" customWidth="1"/>
    <col min="4113" max="4113" width="13.85546875" customWidth="1"/>
    <col min="4114" max="4114" width="13.5703125" customWidth="1"/>
    <col min="4115" max="4115" width="14.140625" customWidth="1"/>
    <col min="4116" max="4116" width="8.28515625" customWidth="1"/>
    <col min="4117" max="4117" width="11" customWidth="1"/>
    <col min="4366" max="4366" width="6.42578125" customWidth="1"/>
    <col min="4367" max="4367" width="60.5703125" customWidth="1"/>
    <col min="4368" max="4368" width="10.28515625" customWidth="1"/>
    <col min="4369" max="4369" width="13.85546875" customWidth="1"/>
    <col min="4370" max="4370" width="13.5703125" customWidth="1"/>
    <col min="4371" max="4371" width="14.140625" customWidth="1"/>
    <col min="4372" max="4372" width="8.28515625" customWidth="1"/>
    <col min="4373" max="4373" width="11" customWidth="1"/>
    <col min="4622" max="4622" width="6.42578125" customWidth="1"/>
    <col min="4623" max="4623" width="60.5703125" customWidth="1"/>
    <col min="4624" max="4624" width="10.28515625" customWidth="1"/>
    <col min="4625" max="4625" width="13.85546875" customWidth="1"/>
    <col min="4626" max="4626" width="13.5703125" customWidth="1"/>
    <col min="4627" max="4627" width="14.140625" customWidth="1"/>
    <col min="4628" max="4628" width="8.28515625" customWidth="1"/>
    <col min="4629" max="4629" width="11" customWidth="1"/>
    <col min="4878" max="4878" width="6.42578125" customWidth="1"/>
    <col min="4879" max="4879" width="60.5703125" customWidth="1"/>
    <col min="4880" max="4880" width="10.28515625" customWidth="1"/>
    <col min="4881" max="4881" width="13.85546875" customWidth="1"/>
    <col min="4882" max="4882" width="13.5703125" customWidth="1"/>
    <col min="4883" max="4883" width="14.140625" customWidth="1"/>
    <col min="4884" max="4884" width="8.28515625" customWidth="1"/>
    <col min="4885" max="4885" width="11" customWidth="1"/>
    <col min="5134" max="5134" width="6.42578125" customWidth="1"/>
    <col min="5135" max="5135" width="60.5703125" customWidth="1"/>
    <col min="5136" max="5136" width="10.28515625" customWidth="1"/>
    <col min="5137" max="5137" width="13.85546875" customWidth="1"/>
    <col min="5138" max="5138" width="13.5703125" customWidth="1"/>
    <col min="5139" max="5139" width="14.140625" customWidth="1"/>
    <col min="5140" max="5140" width="8.28515625" customWidth="1"/>
    <col min="5141" max="5141" width="11" customWidth="1"/>
    <col min="5390" max="5390" width="6.42578125" customWidth="1"/>
    <col min="5391" max="5391" width="60.5703125" customWidth="1"/>
    <col min="5392" max="5392" width="10.28515625" customWidth="1"/>
    <col min="5393" max="5393" width="13.85546875" customWidth="1"/>
    <col min="5394" max="5394" width="13.5703125" customWidth="1"/>
    <col min="5395" max="5395" width="14.140625" customWidth="1"/>
    <col min="5396" max="5396" width="8.28515625" customWidth="1"/>
    <col min="5397" max="5397" width="11" customWidth="1"/>
    <col min="5646" max="5646" width="6.42578125" customWidth="1"/>
    <col min="5647" max="5647" width="60.5703125" customWidth="1"/>
    <col min="5648" max="5648" width="10.28515625" customWidth="1"/>
    <col min="5649" max="5649" width="13.85546875" customWidth="1"/>
    <col min="5650" max="5650" width="13.5703125" customWidth="1"/>
    <col min="5651" max="5651" width="14.140625" customWidth="1"/>
    <col min="5652" max="5652" width="8.28515625" customWidth="1"/>
    <col min="5653" max="5653" width="11" customWidth="1"/>
    <col min="5902" max="5902" width="6.42578125" customWidth="1"/>
    <col min="5903" max="5903" width="60.5703125" customWidth="1"/>
    <col min="5904" max="5904" width="10.28515625" customWidth="1"/>
    <col min="5905" max="5905" width="13.85546875" customWidth="1"/>
    <col min="5906" max="5906" width="13.5703125" customWidth="1"/>
    <col min="5907" max="5907" width="14.140625" customWidth="1"/>
    <col min="5908" max="5908" width="8.28515625" customWidth="1"/>
    <col min="5909" max="5909" width="11" customWidth="1"/>
    <col min="6158" max="6158" width="6.42578125" customWidth="1"/>
    <col min="6159" max="6159" width="60.5703125" customWidth="1"/>
    <col min="6160" max="6160" width="10.28515625" customWidth="1"/>
    <col min="6161" max="6161" width="13.85546875" customWidth="1"/>
    <col min="6162" max="6162" width="13.5703125" customWidth="1"/>
    <col min="6163" max="6163" width="14.140625" customWidth="1"/>
    <col min="6164" max="6164" width="8.28515625" customWidth="1"/>
    <col min="6165" max="6165" width="11" customWidth="1"/>
    <col min="6414" max="6414" width="6.42578125" customWidth="1"/>
    <col min="6415" max="6415" width="60.5703125" customWidth="1"/>
    <col min="6416" max="6416" width="10.28515625" customWidth="1"/>
    <col min="6417" max="6417" width="13.85546875" customWidth="1"/>
    <col min="6418" max="6418" width="13.5703125" customWidth="1"/>
    <col min="6419" max="6419" width="14.140625" customWidth="1"/>
    <col min="6420" max="6420" width="8.28515625" customWidth="1"/>
    <col min="6421" max="6421" width="11" customWidth="1"/>
    <col min="6670" max="6670" width="6.42578125" customWidth="1"/>
    <col min="6671" max="6671" width="60.5703125" customWidth="1"/>
    <col min="6672" max="6672" width="10.28515625" customWidth="1"/>
    <col min="6673" max="6673" width="13.85546875" customWidth="1"/>
    <col min="6674" max="6674" width="13.5703125" customWidth="1"/>
    <col min="6675" max="6675" width="14.140625" customWidth="1"/>
    <col min="6676" max="6676" width="8.28515625" customWidth="1"/>
    <col min="6677" max="6677" width="11" customWidth="1"/>
    <col min="6926" max="6926" width="6.42578125" customWidth="1"/>
    <col min="6927" max="6927" width="60.5703125" customWidth="1"/>
    <col min="6928" max="6928" width="10.28515625" customWidth="1"/>
    <col min="6929" max="6929" width="13.85546875" customWidth="1"/>
    <col min="6930" max="6930" width="13.5703125" customWidth="1"/>
    <col min="6931" max="6931" width="14.140625" customWidth="1"/>
    <col min="6932" max="6932" width="8.28515625" customWidth="1"/>
    <col min="6933" max="6933" width="11" customWidth="1"/>
    <col min="7182" max="7182" width="6.42578125" customWidth="1"/>
    <col min="7183" max="7183" width="60.5703125" customWidth="1"/>
    <col min="7184" max="7184" width="10.28515625" customWidth="1"/>
    <col min="7185" max="7185" width="13.85546875" customWidth="1"/>
    <col min="7186" max="7186" width="13.5703125" customWidth="1"/>
    <col min="7187" max="7187" width="14.140625" customWidth="1"/>
    <col min="7188" max="7188" width="8.28515625" customWidth="1"/>
    <col min="7189" max="7189" width="11" customWidth="1"/>
    <col min="7438" max="7438" width="6.42578125" customWidth="1"/>
    <col min="7439" max="7439" width="60.5703125" customWidth="1"/>
    <col min="7440" max="7440" width="10.28515625" customWidth="1"/>
    <col min="7441" max="7441" width="13.85546875" customWidth="1"/>
    <col min="7442" max="7442" width="13.5703125" customWidth="1"/>
    <col min="7443" max="7443" width="14.140625" customWidth="1"/>
    <col min="7444" max="7444" width="8.28515625" customWidth="1"/>
    <col min="7445" max="7445" width="11" customWidth="1"/>
    <col min="7694" max="7694" width="6.42578125" customWidth="1"/>
    <col min="7695" max="7695" width="60.5703125" customWidth="1"/>
    <col min="7696" max="7696" width="10.28515625" customWidth="1"/>
    <col min="7697" max="7697" width="13.85546875" customWidth="1"/>
    <col min="7698" max="7698" width="13.5703125" customWidth="1"/>
    <col min="7699" max="7699" width="14.140625" customWidth="1"/>
    <col min="7700" max="7700" width="8.28515625" customWidth="1"/>
    <col min="7701" max="7701" width="11" customWidth="1"/>
    <col min="7950" max="7950" width="6.42578125" customWidth="1"/>
    <col min="7951" max="7951" width="60.5703125" customWidth="1"/>
    <col min="7952" max="7952" width="10.28515625" customWidth="1"/>
    <col min="7953" max="7953" width="13.85546875" customWidth="1"/>
    <col min="7954" max="7954" width="13.5703125" customWidth="1"/>
    <col min="7955" max="7955" width="14.140625" customWidth="1"/>
    <col min="7956" max="7956" width="8.28515625" customWidth="1"/>
    <col min="7957" max="7957" width="11" customWidth="1"/>
    <col min="8206" max="8206" width="6.42578125" customWidth="1"/>
    <col min="8207" max="8207" width="60.5703125" customWidth="1"/>
    <col min="8208" max="8208" width="10.28515625" customWidth="1"/>
    <col min="8209" max="8209" width="13.85546875" customWidth="1"/>
    <col min="8210" max="8210" width="13.5703125" customWidth="1"/>
    <col min="8211" max="8211" width="14.140625" customWidth="1"/>
    <col min="8212" max="8212" width="8.28515625" customWidth="1"/>
    <col min="8213" max="8213" width="11" customWidth="1"/>
    <col min="8462" max="8462" width="6.42578125" customWidth="1"/>
    <col min="8463" max="8463" width="60.5703125" customWidth="1"/>
    <col min="8464" max="8464" width="10.28515625" customWidth="1"/>
    <col min="8465" max="8465" width="13.85546875" customWidth="1"/>
    <col min="8466" max="8466" width="13.5703125" customWidth="1"/>
    <col min="8467" max="8467" width="14.140625" customWidth="1"/>
    <col min="8468" max="8468" width="8.28515625" customWidth="1"/>
    <col min="8469" max="8469" width="11" customWidth="1"/>
    <col min="8718" max="8718" width="6.42578125" customWidth="1"/>
    <col min="8719" max="8719" width="60.5703125" customWidth="1"/>
    <col min="8720" max="8720" width="10.28515625" customWidth="1"/>
    <col min="8721" max="8721" width="13.85546875" customWidth="1"/>
    <col min="8722" max="8722" width="13.5703125" customWidth="1"/>
    <col min="8723" max="8723" width="14.140625" customWidth="1"/>
    <col min="8724" max="8724" width="8.28515625" customWidth="1"/>
    <col min="8725" max="8725" width="11" customWidth="1"/>
    <col min="8974" max="8974" width="6.42578125" customWidth="1"/>
    <col min="8975" max="8975" width="60.5703125" customWidth="1"/>
    <col min="8976" max="8976" width="10.28515625" customWidth="1"/>
    <col min="8977" max="8977" width="13.85546875" customWidth="1"/>
    <col min="8978" max="8978" width="13.5703125" customWidth="1"/>
    <col min="8979" max="8979" width="14.140625" customWidth="1"/>
    <col min="8980" max="8980" width="8.28515625" customWidth="1"/>
    <col min="8981" max="8981" width="11" customWidth="1"/>
    <col min="9230" max="9230" width="6.42578125" customWidth="1"/>
    <col min="9231" max="9231" width="60.5703125" customWidth="1"/>
    <col min="9232" max="9232" width="10.28515625" customWidth="1"/>
    <col min="9233" max="9233" width="13.85546875" customWidth="1"/>
    <col min="9234" max="9234" width="13.5703125" customWidth="1"/>
    <col min="9235" max="9235" width="14.140625" customWidth="1"/>
    <col min="9236" max="9236" width="8.28515625" customWidth="1"/>
    <col min="9237" max="9237" width="11" customWidth="1"/>
    <col min="9486" max="9486" width="6.42578125" customWidth="1"/>
    <col min="9487" max="9487" width="60.5703125" customWidth="1"/>
    <col min="9488" max="9488" width="10.28515625" customWidth="1"/>
    <col min="9489" max="9489" width="13.85546875" customWidth="1"/>
    <col min="9490" max="9490" width="13.5703125" customWidth="1"/>
    <col min="9491" max="9491" width="14.140625" customWidth="1"/>
    <col min="9492" max="9492" width="8.28515625" customWidth="1"/>
    <col min="9493" max="9493" width="11" customWidth="1"/>
    <col min="9742" max="9742" width="6.42578125" customWidth="1"/>
    <col min="9743" max="9743" width="60.5703125" customWidth="1"/>
    <col min="9744" max="9744" width="10.28515625" customWidth="1"/>
    <col min="9745" max="9745" width="13.85546875" customWidth="1"/>
    <col min="9746" max="9746" width="13.5703125" customWidth="1"/>
    <col min="9747" max="9747" width="14.140625" customWidth="1"/>
    <col min="9748" max="9748" width="8.28515625" customWidth="1"/>
    <col min="9749" max="9749" width="11" customWidth="1"/>
    <col min="9998" max="9998" width="6.42578125" customWidth="1"/>
    <col min="9999" max="9999" width="60.5703125" customWidth="1"/>
    <col min="10000" max="10000" width="10.28515625" customWidth="1"/>
    <col min="10001" max="10001" width="13.85546875" customWidth="1"/>
    <col min="10002" max="10002" width="13.5703125" customWidth="1"/>
    <col min="10003" max="10003" width="14.140625" customWidth="1"/>
    <col min="10004" max="10004" width="8.28515625" customWidth="1"/>
    <col min="10005" max="10005" width="11" customWidth="1"/>
    <col min="10254" max="10254" width="6.42578125" customWidth="1"/>
    <col min="10255" max="10255" width="60.5703125" customWidth="1"/>
    <col min="10256" max="10256" width="10.28515625" customWidth="1"/>
    <col min="10257" max="10257" width="13.85546875" customWidth="1"/>
    <col min="10258" max="10258" width="13.5703125" customWidth="1"/>
    <col min="10259" max="10259" width="14.140625" customWidth="1"/>
    <col min="10260" max="10260" width="8.28515625" customWidth="1"/>
    <col min="10261" max="10261" width="11" customWidth="1"/>
    <col min="10510" max="10510" width="6.42578125" customWidth="1"/>
    <col min="10511" max="10511" width="60.5703125" customWidth="1"/>
    <col min="10512" max="10512" width="10.28515625" customWidth="1"/>
    <col min="10513" max="10513" width="13.85546875" customWidth="1"/>
    <col min="10514" max="10514" width="13.5703125" customWidth="1"/>
    <col min="10515" max="10515" width="14.140625" customWidth="1"/>
    <col min="10516" max="10516" width="8.28515625" customWidth="1"/>
    <col min="10517" max="10517" width="11" customWidth="1"/>
    <col min="10766" max="10766" width="6.42578125" customWidth="1"/>
    <col min="10767" max="10767" width="60.5703125" customWidth="1"/>
    <col min="10768" max="10768" width="10.28515625" customWidth="1"/>
    <col min="10769" max="10769" width="13.85546875" customWidth="1"/>
    <col min="10770" max="10770" width="13.5703125" customWidth="1"/>
    <col min="10771" max="10771" width="14.140625" customWidth="1"/>
    <col min="10772" max="10772" width="8.28515625" customWidth="1"/>
    <col min="10773" max="10773" width="11" customWidth="1"/>
    <col min="11022" max="11022" width="6.42578125" customWidth="1"/>
    <col min="11023" max="11023" width="60.5703125" customWidth="1"/>
    <col min="11024" max="11024" width="10.28515625" customWidth="1"/>
    <col min="11025" max="11025" width="13.85546875" customWidth="1"/>
    <col min="11026" max="11026" width="13.5703125" customWidth="1"/>
    <col min="11027" max="11027" width="14.140625" customWidth="1"/>
    <col min="11028" max="11028" width="8.28515625" customWidth="1"/>
    <col min="11029" max="11029" width="11" customWidth="1"/>
    <col min="11278" max="11278" width="6.42578125" customWidth="1"/>
    <col min="11279" max="11279" width="60.5703125" customWidth="1"/>
    <col min="11280" max="11280" width="10.28515625" customWidth="1"/>
    <col min="11281" max="11281" width="13.85546875" customWidth="1"/>
    <col min="11282" max="11282" width="13.5703125" customWidth="1"/>
    <col min="11283" max="11283" width="14.140625" customWidth="1"/>
    <col min="11284" max="11284" width="8.28515625" customWidth="1"/>
    <col min="11285" max="11285" width="11" customWidth="1"/>
    <col min="11534" max="11534" width="6.42578125" customWidth="1"/>
    <col min="11535" max="11535" width="60.5703125" customWidth="1"/>
    <col min="11536" max="11536" width="10.28515625" customWidth="1"/>
    <col min="11537" max="11537" width="13.85546875" customWidth="1"/>
    <col min="11538" max="11538" width="13.5703125" customWidth="1"/>
    <col min="11539" max="11539" width="14.140625" customWidth="1"/>
    <col min="11540" max="11540" width="8.28515625" customWidth="1"/>
    <col min="11541" max="11541" width="11" customWidth="1"/>
    <col min="11790" max="11790" width="6.42578125" customWidth="1"/>
    <col min="11791" max="11791" width="60.5703125" customWidth="1"/>
    <col min="11792" max="11792" width="10.28515625" customWidth="1"/>
    <col min="11793" max="11793" width="13.85546875" customWidth="1"/>
    <col min="11794" max="11794" width="13.5703125" customWidth="1"/>
    <col min="11795" max="11795" width="14.140625" customWidth="1"/>
    <col min="11796" max="11796" width="8.28515625" customWidth="1"/>
    <col min="11797" max="11797" width="11" customWidth="1"/>
    <col min="12046" max="12046" width="6.42578125" customWidth="1"/>
    <col min="12047" max="12047" width="60.5703125" customWidth="1"/>
    <col min="12048" max="12048" width="10.28515625" customWidth="1"/>
    <col min="12049" max="12049" width="13.85546875" customWidth="1"/>
    <col min="12050" max="12050" width="13.5703125" customWidth="1"/>
    <col min="12051" max="12051" width="14.140625" customWidth="1"/>
    <col min="12052" max="12052" width="8.28515625" customWidth="1"/>
    <col min="12053" max="12053" width="11" customWidth="1"/>
    <col min="12302" max="12302" width="6.42578125" customWidth="1"/>
    <col min="12303" max="12303" width="60.5703125" customWidth="1"/>
    <col min="12304" max="12304" width="10.28515625" customWidth="1"/>
    <col min="12305" max="12305" width="13.85546875" customWidth="1"/>
    <col min="12306" max="12306" width="13.5703125" customWidth="1"/>
    <col min="12307" max="12307" width="14.140625" customWidth="1"/>
    <col min="12308" max="12308" width="8.28515625" customWidth="1"/>
    <col min="12309" max="12309" width="11" customWidth="1"/>
    <col min="12558" max="12558" width="6.42578125" customWidth="1"/>
    <col min="12559" max="12559" width="60.5703125" customWidth="1"/>
    <col min="12560" max="12560" width="10.28515625" customWidth="1"/>
    <col min="12561" max="12561" width="13.85546875" customWidth="1"/>
    <col min="12562" max="12562" width="13.5703125" customWidth="1"/>
    <col min="12563" max="12563" width="14.140625" customWidth="1"/>
    <col min="12564" max="12564" width="8.28515625" customWidth="1"/>
    <col min="12565" max="12565" width="11" customWidth="1"/>
    <col min="12814" max="12814" width="6.42578125" customWidth="1"/>
    <col min="12815" max="12815" width="60.5703125" customWidth="1"/>
    <col min="12816" max="12816" width="10.28515625" customWidth="1"/>
    <col min="12817" max="12817" width="13.85546875" customWidth="1"/>
    <col min="12818" max="12818" width="13.5703125" customWidth="1"/>
    <col min="12819" max="12819" width="14.140625" customWidth="1"/>
    <col min="12820" max="12820" width="8.28515625" customWidth="1"/>
    <col min="12821" max="12821" width="11" customWidth="1"/>
    <col min="13070" max="13070" width="6.42578125" customWidth="1"/>
    <col min="13071" max="13071" width="60.5703125" customWidth="1"/>
    <col min="13072" max="13072" width="10.28515625" customWidth="1"/>
    <col min="13073" max="13073" width="13.85546875" customWidth="1"/>
    <col min="13074" max="13074" width="13.5703125" customWidth="1"/>
    <col min="13075" max="13075" width="14.140625" customWidth="1"/>
    <col min="13076" max="13076" width="8.28515625" customWidth="1"/>
    <col min="13077" max="13077" width="11" customWidth="1"/>
    <col min="13326" max="13326" width="6.42578125" customWidth="1"/>
    <col min="13327" max="13327" width="60.5703125" customWidth="1"/>
    <col min="13328" max="13328" width="10.28515625" customWidth="1"/>
    <col min="13329" max="13329" width="13.85546875" customWidth="1"/>
    <col min="13330" max="13330" width="13.5703125" customWidth="1"/>
    <col min="13331" max="13331" width="14.140625" customWidth="1"/>
    <col min="13332" max="13332" width="8.28515625" customWidth="1"/>
    <col min="13333" max="13333" width="11" customWidth="1"/>
    <col min="13582" max="13582" width="6.42578125" customWidth="1"/>
    <col min="13583" max="13583" width="60.5703125" customWidth="1"/>
    <col min="13584" max="13584" width="10.28515625" customWidth="1"/>
    <col min="13585" max="13585" width="13.85546875" customWidth="1"/>
    <col min="13586" max="13586" width="13.5703125" customWidth="1"/>
    <col min="13587" max="13587" width="14.140625" customWidth="1"/>
    <col min="13588" max="13588" width="8.28515625" customWidth="1"/>
    <col min="13589" max="13589" width="11" customWidth="1"/>
    <col min="13838" max="13838" width="6.42578125" customWidth="1"/>
    <col min="13839" max="13839" width="60.5703125" customWidth="1"/>
    <col min="13840" max="13840" width="10.28515625" customWidth="1"/>
    <col min="13841" max="13841" width="13.85546875" customWidth="1"/>
    <col min="13842" max="13842" width="13.5703125" customWidth="1"/>
    <col min="13843" max="13843" width="14.140625" customWidth="1"/>
    <col min="13844" max="13844" width="8.28515625" customWidth="1"/>
    <col min="13845" max="13845" width="11" customWidth="1"/>
    <col min="14094" max="14094" width="6.42578125" customWidth="1"/>
    <col min="14095" max="14095" width="60.5703125" customWidth="1"/>
    <col min="14096" max="14096" width="10.28515625" customWidth="1"/>
    <col min="14097" max="14097" width="13.85546875" customWidth="1"/>
    <col min="14098" max="14098" width="13.5703125" customWidth="1"/>
    <col min="14099" max="14099" width="14.140625" customWidth="1"/>
    <col min="14100" max="14100" width="8.28515625" customWidth="1"/>
    <col min="14101" max="14101" width="11" customWidth="1"/>
    <col min="14350" max="14350" width="6.42578125" customWidth="1"/>
    <col min="14351" max="14351" width="60.5703125" customWidth="1"/>
    <col min="14352" max="14352" width="10.28515625" customWidth="1"/>
    <col min="14353" max="14353" width="13.85546875" customWidth="1"/>
    <col min="14354" max="14354" width="13.5703125" customWidth="1"/>
    <col min="14355" max="14355" width="14.140625" customWidth="1"/>
    <col min="14356" max="14356" width="8.28515625" customWidth="1"/>
    <col min="14357" max="14357" width="11" customWidth="1"/>
    <col min="14606" max="14606" width="6.42578125" customWidth="1"/>
    <col min="14607" max="14607" width="60.5703125" customWidth="1"/>
    <col min="14608" max="14608" width="10.28515625" customWidth="1"/>
    <col min="14609" max="14609" width="13.85546875" customWidth="1"/>
    <col min="14610" max="14610" width="13.5703125" customWidth="1"/>
    <col min="14611" max="14611" width="14.140625" customWidth="1"/>
    <col min="14612" max="14612" width="8.28515625" customWidth="1"/>
    <col min="14613" max="14613" width="11" customWidth="1"/>
    <col min="14862" max="14862" width="6.42578125" customWidth="1"/>
    <col min="14863" max="14863" width="60.5703125" customWidth="1"/>
    <col min="14864" max="14864" width="10.28515625" customWidth="1"/>
    <col min="14865" max="14865" width="13.85546875" customWidth="1"/>
    <col min="14866" max="14866" width="13.5703125" customWidth="1"/>
    <col min="14867" max="14867" width="14.140625" customWidth="1"/>
    <col min="14868" max="14868" width="8.28515625" customWidth="1"/>
    <col min="14869" max="14869" width="11" customWidth="1"/>
    <col min="15118" max="15118" width="6.42578125" customWidth="1"/>
    <col min="15119" max="15119" width="60.5703125" customWidth="1"/>
    <col min="15120" max="15120" width="10.28515625" customWidth="1"/>
    <col min="15121" max="15121" width="13.85546875" customWidth="1"/>
    <col min="15122" max="15122" width="13.5703125" customWidth="1"/>
    <col min="15123" max="15123" width="14.140625" customWidth="1"/>
    <col min="15124" max="15124" width="8.28515625" customWidth="1"/>
    <col min="15125" max="15125" width="11" customWidth="1"/>
    <col min="15374" max="15374" width="6.42578125" customWidth="1"/>
    <col min="15375" max="15375" width="60.5703125" customWidth="1"/>
    <col min="15376" max="15376" width="10.28515625" customWidth="1"/>
    <col min="15377" max="15377" width="13.85546875" customWidth="1"/>
    <col min="15378" max="15378" width="13.5703125" customWidth="1"/>
    <col min="15379" max="15379" width="14.140625" customWidth="1"/>
    <col min="15380" max="15380" width="8.28515625" customWidth="1"/>
    <col min="15381" max="15381" width="11" customWidth="1"/>
    <col min="15630" max="15630" width="6.42578125" customWidth="1"/>
    <col min="15631" max="15631" width="60.5703125" customWidth="1"/>
    <col min="15632" max="15632" width="10.28515625" customWidth="1"/>
    <col min="15633" max="15633" width="13.85546875" customWidth="1"/>
    <col min="15634" max="15634" width="13.5703125" customWidth="1"/>
    <col min="15635" max="15635" width="14.140625" customWidth="1"/>
    <col min="15636" max="15636" width="8.28515625" customWidth="1"/>
    <col min="15637" max="15637" width="11" customWidth="1"/>
    <col min="15886" max="15886" width="6.42578125" customWidth="1"/>
    <col min="15887" max="15887" width="60.5703125" customWidth="1"/>
    <col min="15888" max="15888" width="10.28515625" customWidth="1"/>
    <col min="15889" max="15889" width="13.85546875" customWidth="1"/>
    <col min="15890" max="15890" width="13.5703125" customWidth="1"/>
    <col min="15891" max="15891" width="14.140625" customWidth="1"/>
    <col min="15892" max="15892" width="8.28515625" customWidth="1"/>
    <col min="15893" max="15893" width="11" customWidth="1"/>
    <col min="16142" max="16142" width="6.42578125" customWidth="1"/>
    <col min="16143" max="16143" width="60.5703125" customWidth="1"/>
    <col min="16144" max="16144" width="10.28515625" customWidth="1"/>
    <col min="16145" max="16145" width="13.85546875" customWidth="1"/>
    <col min="16146" max="16146" width="13.5703125" customWidth="1"/>
    <col min="16147" max="16147" width="14.140625" customWidth="1"/>
    <col min="16148" max="16148" width="8.28515625" customWidth="1"/>
    <col min="16149" max="16149" width="11" customWidth="1"/>
  </cols>
  <sheetData>
    <row r="1" spans="1:24" ht="13.5">
      <c r="X1" s="50" t="s">
        <v>745</v>
      </c>
    </row>
    <row r="2" spans="1:24" s="70" customFormat="1" ht="18.75">
      <c r="A2" s="3607" t="s">
        <v>746</v>
      </c>
      <c r="B2" s="3607"/>
      <c r="C2" s="3607"/>
      <c r="D2" s="3607"/>
      <c r="E2" s="3607"/>
      <c r="F2" s="3607"/>
      <c r="G2" s="3607"/>
      <c r="H2" s="3607"/>
      <c r="I2" s="3607"/>
      <c r="J2" s="3607"/>
      <c r="K2" s="3607"/>
      <c r="L2" s="3607"/>
      <c r="M2" s="3607"/>
      <c r="N2" s="3607"/>
      <c r="O2" s="3607"/>
      <c r="P2" s="3607"/>
      <c r="Q2" s="3607"/>
      <c r="R2" s="3607"/>
      <c r="S2" s="3607"/>
      <c r="T2" s="3607"/>
      <c r="U2" s="3607"/>
      <c r="V2" s="3607"/>
      <c r="W2" s="3607"/>
      <c r="X2" s="3607"/>
    </row>
    <row r="3" spans="1:24" ht="18.75">
      <c r="A3" s="3607" t="s">
        <v>1420</v>
      </c>
      <c r="B3" s="3607"/>
      <c r="C3" s="3607"/>
      <c r="D3" s="3607"/>
      <c r="E3" s="3607"/>
      <c r="F3" s="3607"/>
      <c r="G3" s="3607"/>
      <c r="H3" s="3607"/>
      <c r="I3" s="3607"/>
      <c r="J3" s="3607"/>
      <c r="K3" s="3607"/>
      <c r="L3" s="3607"/>
      <c r="M3" s="3607"/>
      <c r="N3" s="3607"/>
      <c r="O3" s="3607"/>
      <c r="P3" s="3607"/>
      <c r="Q3" s="3607"/>
      <c r="R3" s="3607"/>
      <c r="S3" s="3607"/>
      <c r="T3" s="3607"/>
      <c r="U3" s="3607"/>
      <c r="V3" s="3607"/>
      <c r="W3" s="3607"/>
      <c r="X3" s="3607"/>
    </row>
    <row r="4" spans="1:24" s="127" customFormat="1" ht="15" customHeight="1">
      <c r="A4" s="3608" t="str">
        <f>'1. Анкетна карта'!A3:J3</f>
        <v>на "Водоснабдяване и канализация" ООД , гр. Враца</v>
      </c>
      <c r="B4" s="3608"/>
      <c r="C4" s="3608"/>
      <c r="D4" s="3608"/>
      <c r="E4" s="3608"/>
      <c r="F4" s="3608"/>
      <c r="G4" s="3608"/>
      <c r="H4" s="3608"/>
      <c r="I4" s="3608"/>
      <c r="J4" s="3608"/>
      <c r="K4" s="3608"/>
      <c r="L4" s="3608"/>
      <c r="M4" s="3608"/>
      <c r="N4" s="3608"/>
      <c r="O4" s="3608"/>
      <c r="P4" s="3608"/>
      <c r="Q4" s="3608"/>
      <c r="R4" s="3608"/>
      <c r="S4" s="3608"/>
      <c r="T4" s="3608"/>
      <c r="U4" s="3608"/>
      <c r="V4" s="3608"/>
      <c r="W4" s="3608"/>
      <c r="X4" s="3608"/>
    </row>
    <row r="5" spans="1:24" s="127" customFormat="1" ht="13.5" customHeight="1">
      <c r="A5" s="3608" t="str">
        <f>'1. Анкетна карта'!A4:J4</f>
        <v>ЕИК по БУЛСТАТ: 816090199</v>
      </c>
      <c r="B5" s="3608"/>
      <c r="C5" s="3608"/>
      <c r="D5" s="3608"/>
      <c r="E5" s="3608"/>
      <c r="F5" s="3608"/>
      <c r="G5" s="3608"/>
      <c r="H5" s="3608"/>
      <c r="I5" s="3608"/>
      <c r="J5" s="3608"/>
      <c r="K5" s="3608"/>
      <c r="L5" s="3608"/>
      <c r="M5" s="3608"/>
      <c r="N5" s="3608"/>
      <c r="O5" s="3608"/>
      <c r="P5" s="3608"/>
      <c r="Q5" s="3608"/>
      <c r="R5" s="3608"/>
      <c r="S5" s="3608"/>
      <c r="T5" s="3608"/>
      <c r="U5" s="3608"/>
      <c r="V5" s="3608"/>
      <c r="W5" s="3608"/>
      <c r="X5" s="3608"/>
    </row>
    <row r="6" spans="1:24" ht="13.5" customHeight="1" thickBot="1">
      <c r="A6" s="157"/>
      <c r="B6" s="157"/>
      <c r="C6" s="157"/>
      <c r="D6" s="1189"/>
      <c r="E6" s="1189"/>
      <c r="F6" s="1189"/>
      <c r="G6" s="1189"/>
      <c r="H6" s="1189"/>
      <c r="I6" s="1189"/>
      <c r="J6" s="1189"/>
      <c r="K6" s="1189"/>
      <c r="L6" s="1189"/>
      <c r="M6" s="157"/>
      <c r="N6" s="157"/>
      <c r="O6" s="157"/>
      <c r="P6" s="157"/>
      <c r="Q6" s="157"/>
      <c r="R6" s="157"/>
      <c r="S6" s="157"/>
      <c r="T6" s="157"/>
      <c r="U6" s="157"/>
      <c r="V6" s="157"/>
      <c r="W6" s="157"/>
      <c r="X6" s="157"/>
    </row>
    <row r="7" spans="1:24" ht="13.5" customHeight="1">
      <c r="A7" s="3601" t="s">
        <v>1</v>
      </c>
      <c r="B7" s="3603" t="s">
        <v>359</v>
      </c>
      <c r="C7" s="3605" t="s">
        <v>222</v>
      </c>
      <c r="D7" s="3609" t="s">
        <v>273</v>
      </c>
      <c r="E7" s="3610"/>
      <c r="F7" s="3610"/>
      <c r="G7" s="3610"/>
      <c r="H7" s="3610"/>
      <c r="I7" s="3610"/>
      <c r="J7" s="3611"/>
      <c r="K7" s="3609" t="s">
        <v>230</v>
      </c>
      <c r="L7" s="3610"/>
      <c r="M7" s="3610"/>
      <c r="N7" s="3610"/>
      <c r="O7" s="3610"/>
      <c r="P7" s="3610"/>
      <c r="Q7" s="3611"/>
      <c r="R7" s="3609" t="s">
        <v>241</v>
      </c>
      <c r="S7" s="3610"/>
      <c r="T7" s="3610"/>
      <c r="U7" s="3610"/>
      <c r="V7" s="3610"/>
      <c r="W7" s="3610"/>
      <c r="X7" s="3611"/>
    </row>
    <row r="8" spans="1:24" ht="13.5" thickBot="1">
      <c r="A8" s="3602"/>
      <c r="B8" s="3604"/>
      <c r="C8" s="3606"/>
      <c r="D8" s="2491" t="str">
        <f>'Приложение '!$G12</f>
        <v>2015 г.</v>
      </c>
      <c r="E8" s="2492" t="str">
        <f>'Приложение '!$G13</f>
        <v>2016 г.</v>
      </c>
      <c r="F8" s="2495" t="str">
        <f>'Приложение '!$G14</f>
        <v>2017 г.</v>
      </c>
      <c r="G8" s="2495" t="str">
        <f>'Приложение '!$G15</f>
        <v>2018 г.</v>
      </c>
      <c r="H8" s="2495" t="str">
        <f>'Приложение '!$G16</f>
        <v>2019 г.</v>
      </c>
      <c r="I8" s="2495" t="str">
        <f>'Приложение '!$G17</f>
        <v>2020 г.</v>
      </c>
      <c r="J8" s="2496" t="str">
        <f>'Приложение '!$G18</f>
        <v>2021 г.</v>
      </c>
      <c r="K8" s="2158" t="str">
        <f t="shared" ref="K8:L8" si="0">D8</f>
        <v>2015 г.</v>
      </c>
      <c r="L8" s="2156" t="str">
        <f t="shared" si="0"/>
        <v>2016 г.</v>
      </c>
      <c r="M8" s="2156" t="str">
        <f>F8</f>
        <v>2017 г.</v>
      </c>
      <c r="N8" s="2156" t="str">
        <f>G8</f>
        <v>2018 г.</v>
      </c>
      <c r="O8" s="2156" t="str">
        <f>H8</f>
        <v>2019 г.</v>
      </c>
      <c r="P8" s="2156" t="str">
        <f>I8</f>
        <v>2020 г.</v>
      </c>
      <c r="Q8" s="2157" t="str">
        <f>J8</f>
        <v>2021 г.</v>
      </c>
      <c r="R8" s="2158" t="str">
        <f t="shared" ref="R8:S8" si="1">K8</f>
        <v>2015 г.</v>
      </c>
      <c r="S8" s="2156" t="str">
        <f t="shared" si="1"/>
        <v>2016 г.</v>
      </c>
      <c r="T8" s="2156" t="str">
        <f>M8</f>
        <v>2017 г.</v>
      </c>
      <c r="U8" s="2156" t="str">
        <f>N8</f>
        <v>2018 г.</v>
      </c>
      <c r="V8" s="2156" t="str">
        <f>O8</f>
        <v>2019 г.</v>
      </c>
      <c r="W8" s="2156" t="str">
        <f>P8</f>
        <v>2020 г.</v>
      </c>
      <c r="X8" s="2157" t="str">
        <f>Q8</f>
        <v>2021 г.</v>
      </c>
    </row>
    <row r="9" spans="1:24" ht="15" customHeight="1">
      <c r="A9" s="1002">
        <v>1</v>
      </c>
      <c r="B9" s="1003" t="s">
        <v>360</v>
      </c>
      <c r="C9" s="1004" t="s">
        <v>361</v>
      </c>
      <c r="D9" s="799">
        <v>-504</v>
      </c>
      <c r="E9" s="797">
        <v>163</v>
      </c>
      <c r="F9" s="2497">
        <f>'19. HB'!F30</f>
        <v>991.10465664035837</v>
      </c>
      <c r="G9" s="2498">
        <f>'19. HB'!G30</f>
        <v>997.28966267956241</v>
      </c>
      <c r="H9" s="2498">
        <f>'19. HB'!H30</f>
        <v>992.73192710167143</v>
      </c>
      <c r="I9" s="2498">
        <f>'19. HB'!I30</f>
        <v>980.52038578157385</v>
      </c>
      <c r="J9" s="2499">
        <f>'19. HB'!J30</f>
        <v>978.19447010192221</v>
      </c>
      <c r="K9" s="799">
        <v>98</v>
      </c>
      <c r="L9" s="797">
        <v>115</v>
      </c>
      <c r="M9" s="2497">
        <f>'19. HB'!F31</f>
        <v>212.91428065816538</v>
      </c>
      <c r="N9" s="2498">
        <f>'19. HB'!G31</f>
        <v>203.44432165224205</v>
      </c>
      <c r="O9" s="2498">
        <f>'19. HB'!H31</f>
        <v>190.75496796045027</v>
      </c>
      <c r="P9" s="2498">
        <f>'19. HB'!I31</f>
        <v>176.29409422306767</v>
      </c>
      <c r="Q9" s="2499">
        <f>'19. HB'!J31</f>
        <v>160.53804326158917</v>
      </c>
      <c r="R9" s="782">
        <v>194</v>
      </c>
      <c r="S9" s="782">
        <v>24</v>
      </c>
      <c r="T9" s="2154">
        <f>'19. HB'!F32</f>
        <v>45.45635308960383</v>
      </c>
      <c r="U9" s="2154">
        <f>'19. HB'!G32</f>
        <v>88.24839975495361</v>
      </c>
      <c r="V9" s="2154">
        <f>'19. HB'!H32</f>
        <v>90.877899937878141</v>
      </c>
      <c r="W9" s="2154">
        <f>'19. HB'!I32</f>
        <v>91.046982301294292</v>
      </c>
      <c r="X9" s="2155">
        <f>'19. HB'!J32</f>
        <v>91.150087344251403</v>
      </c>
    </row>
    <row r="10" spans="1:24" ht="15" customHeight="1">
      <c r="A10" s="1005">
        <v>2</v>
      </c>
      <c r="B10" s="1006" t="s">
        <v>362</v>
      </c>
      <c r="C10" s="1007" t="s">
        <v>361</v>
      </c>
      <c r="D10" s="781">
        <v>11610</v>
      </c>
      <c r="E10" s="782">
        <v>12616</v>
      </c>
      <c r="F10" s="1866">
        <f>'12. Разходи'!E84</f>
        <v>13678.099121150677</v>
      </c>
      <c r="G10" s="1864">
        <f>'12. Разходи'!F84</f>
        <v>13872.025582808863</v>
      </c>
      <c r="H10" s="1864">
        <f>'12. Разходи'!G84</f>
        <v>13859.315312111041</v>
      </c>
      <c r="I10" s="1864">
        <f>'12. Разходи'!H84</f>
        <v>13783.459376490868</v>
      </c>
      <c r="J10" s="1865">
        <f>'12. Разходи'!I84</f>
        <v>14408.127778429551</v>
      </c>
      <c r="K10" s="781">
        <v>765</v>
      </c>
      <c r="L10" s="782">
        <v>917</v>
      </c>
      <c r="M10" s="1866">
        <f>'12. Разходи'!L84</f>
        <v>807.51350969458872</v>
      </c>
      <c r="N10" s="1864">
        <f>'12. Разходи'!M84</f>
        <v>891.86580610397448</v>
      </c>
      <c r="O10" s="1864">
        <f>'12. Разходи'!N84</f>
        <v>967.01868404179083</v>
      </c>
      <c r="P10" s="1864">
        <f>'12. Разходи'!O84</f>
        <v>960.72670868664352</v>
      </c>
      <c r="Q10" s="1865">
        <f>'12. Разходи'!P84</f>
        <v>979.70122468266766</v>
      </c>
      <c r="R10" s="782">
        <v>1061</v>
      </c>
      <c r="S10" s="782">
        <v>1424</v>
      </c>
      <c r="T10" s="1864">
        <f>'12. Разходи'!S84</f>
        <v>1286.5073691547332</v>
      </c>
      <c r="U10" s="1864">
        <f>'12. Разходи'!T84</f>
        <v>1429.7986110871627</v>
      </c>
      <c r="V10" s="1864">
        <f>'12. Разходи'!U84</f>
        <v>1519.9060038471694</v>
      </c>
      <c r="W10" s="1864">
        <f>'12. Разходи'!V84</f>
        <v>1609.6239148224888</v>
      </c>
      <c r="X10" s="1865">
        <f>'12. Разходи'!W84</f>
        <v>1617.3609968877809</v>
      </c>
    </row>
    <row r="11" spans="1:24" ht="15" customHeight="1">
      <c r="A11" s="1005">
        <v>3</v>
      </c>
      <c r="B11" s="1006" t="s">
        <v>363</v>
      </c>
      <c r="C11" s="1007" t="s">
        <v>361</v>
      </c>
      <c r="D11" s="1867">
        <f t="shared" ref="D11:X11" si="2">D9+D10</f>
        <v>11106</v>
      </c>
      <c r="E11" s="1868">
        <f t="shared" si="2"/>
        <v>12779</v>
      </c>
      <c r="F11" s="1868">
        <f t="shared" si="2"/>
        <v>14669.203777791035</v>
      </c>
      <c r="G11" s="1868">
        <f t="shared" si="2"/>
        <v>14869.315245488426</v>
      </c>
      <c r="H11" s="1868">
        <f t="shared" si="2"/>
        <v>14852.047239212712</v>
      </c>
      <c r="I11" s="1868">
        <f t="shared" si="2"/>
        <v>14763.979762272442</v>
      </c>
      <c r="J11" s="1869">
        <f t="shared" si="2"/>
        <v>15386.322248531473</v>
      </c>
      <c r="K11" s="1867">
        <f t="shared" si="2"/>
        <v>863</v>
      </c>
      <c r="L11" s="1870">
        <f t="shared" si="2"/>
        <v>1032</v>
      </c>
      <c r="M11" s="1870">
        <f t="shared" si="2"/>
        <v>1020.4277903527541</v>
      </c>
      <c r="N11" s="1868">
        <f t="shared" si="2"/>
        <v>1095.3101277562166</v>
      </c>
      <c r="O11" s="1868">
        <f t="shared" si="2"/>
        <v>1157.7736520022411</v>
      </c>
      <c r="P11" s="1868">
        <f t="shared" si="2"/>
        <v>1137.0208029097112</v>
      </c>
      <c r="Q11" s="1869">
        <f t="shared" si="2"/>
        <v>1140.2392679442569</v>
      </c>
      <c r="R11" s="1867">
        <f t="shared" si="2"/>
        <v>1255</v>
      </c>
      <c r="S11" s="1870">
        <f t="shared" si="2"/>
        <v>1448</v>
      </c>
      <c r="T11" s="1868">
        <f t="shared" si="2"/>
        <v>1331.9637222443371</v>
      </c>
      <c r="U11" s="1868">
        <f t="shared" si="2"/>
        <v>1518.0470108421164</v>
      </c>
      <c r="V11" s="1868">
        <f t="shared" si="2"/>
        <v>1610.7839037850474</v>
      </c>
      <c r="W11" s="1868">
        <f t="shared" si="2"/>
        <v>1700.6708971237831</v>
      </c>
      <c r="X11" s="1869">
        <f t="shared" si="2"/>
        <v>1708.5110842320323</v>
      </c>
    </row>
    <row r="12" spans="1:24" ht="15" customHeight="1">
      <c r="A12" s="1008" t="s">
        <v>111</v>
      </c>
      <c r="B12" s="1006" t="s">
        <v>489</v>
      </c>
      <c r="C12" s="1009" t="s">
        <v>1210</v>
      </c>
      <c r="D12" s="1867">
        <f>('4. Отчет и прогн. потребление'!D10-'4. Отчет и прогн. потребление'!D48)/1000</f>
        <v>7864.8190000000004</v>
      </c>
      <c r="E12" s="1868">
        <f>('4. Отчет и прогн. потребление'!E10-'4. Отчет и прогн. потребление'!E48)/1000</f>
        <v>7734.7</v>
      </c>
      <c r="F12" s="1868">
        <f>('4. Отчет и прогн. потребление'!F10-'4. Отчет и прогн. потребление'!F48)/1000</f>
        <v>8402.8050000000003</v>
      </c>
      <c r="G12" s="1868">
        <f>('4. Отчет и прогн. потребление'!G10-'4. Отчет и прогн. потребление'!G48)/1000</f>
        <v>8402.8050000000003</v>
      </c>
      <c r="H12" s="1868">
        <f>('4. Отчет и прогн. потребление'!H10-'4. Отчет и прогн. потребление'!H48)/1000</f>
        <v>8402.8050000000003</v>
      </c>
      <c r="I12" s="1868">
        <f>('4. Отчет и прогн. потребление'!I10-'4. Отчет и прогн. потребление'!I48)/1000</f>
        <v>8155.5</v>
      </c>
      <c r="J12" s="1869">
        <f>('4. Отчет и прогн. потребление'!J10-'4. Отчет и прогн. потребление'!J48)/1000</f>
        <v>7805</v>
      </c>
      <c r="K12" s="1874"/>
      <c r="L12" s="1871"/>
      <c r="M12" s="1871"/>
      <c r="N12" s="1872"/>
      <c r="O12" s="1872"/>
      <c r="P12" s="1872"/>
      <c r="Q12" s="1873"/>
      <c r="R12" s="1874"/>
      <c r="S12" s="1872"/>
      <c r="T12" s="1872"/>
      <c r="U12" s="1872"/>
      <c r="V12" s="1872"/>
      <c r="W12" s="1872"/>
      <c r="X12" s="1873"/>
    </row>
    <row r="13" spans="1:24" ht="15" customHeight="1">
      <c r="A13" s="1010">
        <v>5</v>
      </c>
      <c r="B13" s="1011" t="s">
        <v>364</v>
      </c>
      <c r="C13" s="1009" t="s">
        <v>1210</v>
      </c>
      <c r="D13" s="1874"/>
      <c r="E13" s="1872"/>
      <c r="F13" s="1872"/>
      <c r="G13" s="1872"/>
      <c r="H13" s="1872"/>
      <c r="I13" s="1872"/>
      <c r="J13" s="1873"/>
      <c r="K13" s="1878">
        <f t="shared" ref="K13:L13" si="3">K14+K15</f>
        <v>4109.66</v>
      </c>
      <c r="L13" s="1875">
        <f t="shared" si="3"/>
        <v>4300</v>
      </c>
      <c r="M13" s="1875">
        <f t="shared" ref="M13:S13" si="4">M14+M15</f>
        <v>4044.7550000000001</v>
      </c>
      <c r="N13" s="1876">
        <f t="shared" si="4"/>
        <v>4210</v>
      </c>
      <c r="O13" s="1876">
        <f t="shared" si="4"/>
        <v>4220</v>
      </c>
      <c r="P13" s="1876">
        <f t="shared" si="4"/>
        <v>4230</v>
      </c>
      <c r="Q13" s="1877">
        <f t="shared" si="4"/>
        <v>4240</v>
      </c>
      <c r="R13" s="1878">
        <f t="shared" si="4"/>
        <v>3241.1419999999998</v>
      </c>
      <c r="S13" s="1876">
        <f t="shared" si="4"/>
        <v>3110</v>
      </c>
      <c r="T13" s="1876">
        <f t="shared" ref="T13:X13" si="5">T14+T15</f>
        <v>2571.4789999999998</v>
      </c>
      <c r="U13" s="1876">
        <f t="shared" si="5"/>
        <v>2887</v>
      </c>
      <c r="V13" s="1876">
        <f t="shared" si="5"/>
        <v>2887</v>
      </c>
      <c r="W13" s="1876">
        <f t="shared" si="5"/>
        <v>2887</v>
      </c>
      <c r="X13" s="1877">
        <f t="shared" si="5"/>
        <v>2887</v>
      </c>
    </row>
    <row r="14" spans="1:24" ht="15" customHeight="1">
      <c r="A14" s="1012" t="s">
        <v>119</v>
      </c>
      <c r="B14" s="1013" t="s">
        <v>365</v>
      </c>
      <c r="C14" s="1009" t="s">
        <v>1210</v>
      </c>
      <c r="D14" s="1874"/>
      <c r="E14" s="1872"/>
      <c r="F14" s="1872"/>
      <c r="G14" s="1872"/>
      <c r="H14" s="1872"/>
      <c r="I14" s="1872"/>
      <c r="J14" s="1873"/>
      <c r="K14" s="1878">
        <f>'4. Отчет и прогн. потребление'!D55/1000</f>
        <v>2899.62</v>
      </c>
      <c r="L14" s="1875">
        <f>'4. Отчет и прогн. потребление'!E55/1000</f>
        <v>2900</v>
      </c>
      <c r="M14" s="1875">
        <f>'4. Отчет и прогн. потребление'!F55/1000</f>
        <v>2927.9079999999999</v>
      </c>
      <c r="N14" s="1876">
        <f>'4. Отчет и прогн. потребление'!G55/1000</f>
        <v>3010</v>
      </c>
      <c r="O14" s="1876">
        <f>'4. Отчет и прогн. потребление'!H55/1000</f>
        <v>3020</v>
      </c>
      <c r="P14" s="1876">
        <f>'4. Отчет и прогн. потребление'!I55/1000</f>
        <v>3030</v>
      </c>
      <c r="Q14" s="1877">
        <f>'4. Отчет и прогн. потребление'!J55/1000</f>
        <v>3040</v>
      </c>
      <c r="R14" s="1878">
        <f>'4. Отчет и прогн. потребление'!D65/1000</f>
        <v>2506.991</v>
      </c>
      <c r="S14" s="1876">
        <f>'4. Отчет и прогн. потребление'!E65/1000</f>
        <v>2400</v>
      </c>
      <c r="T14" s="1876">
        <f>'4. Отчет и прогн. потребление'!F65/1000</f>
        <v>2342.2649999999999</v>
      </c>
      <c r="U14" s="1876">
        <f>'4. Отчет и прогн. потребление'!G65/1000</f>
        <v>2550</v>
      </c>
      <c r="V14" s="1876">
        <f>'4. Отчет и прогн. потребление'!H65/1000</f>
        <v>2550</v>
      </c>
      <c r="W14" s="1876">
        <f>'4. Отчет и прогн. потребление'!I65/1000</f>
        <v>2550</v>
      </c>
      <c r="X14" s="1877">
        <f>'4. Отчет и прогн. потребление'!J65/1000</f>
        <v>2550</v>
      </c>
    </row>
    <row r="15" spans="1:24" s="2168" customFormat="1" ht="30" customHeight="1">
      <c r="A15" s="1012" t="s">
        <v>124</v>
      </c>
      <c r="B15" s="2164" t="s">
        <v>366</v>
      </c>
      <c r="C15" s="1009" t="s">
        <v>1210</v>
      </c>
      <c r="D15" s="2165"/>
      <c r="E15" s="2166"/>
      <c r="F15" s="2166"/>
      <c r="G15" s="2166"/>
      <c r="H15" s="2166"/>
      <c r="I15" s="2166"/>
      <c r="J15" s="2167"/>
      <c r="K15" s="1902">
        <f>'4. Отчет и прогн. потребление'!D57/1000</f>
        <v>1210.04</v>
      </c>
      <c r="L15" s="1899">
        <f>'4. Отчет и прогн. потребление'!E57/1000</f>
        <v>1400</v>
      </c>
      <c r="M15" s="1899">
        <f>'4. Отчет и прогн. потребление'!F57/1000</f>
        <v>1116.847</v>
      </c>
      <c r="N15" s="1900">
        <f>'4. Отчет и прогн. потребление'!G57/1000</f>
        <v>1200</v>
      </c>
      <c r="O15" s="1900">
        <f>'4. Отчет и прогн. потребление'!H57/1000</f>
        <v>1200</v>
      </c>
      <c r="P15" s="1900">
        <f>'4. Отчет и прогн. потребление'!I57/1000</f>
        <v>1200</v>
      </c>
      <c r="Q15" s="1901">
        <f>'4. Отчет и прогн. потребление'!J57/1000</f>
        <v>1200</v>
      </c>
      <c r="R15" s="1902">
        <f>'4. Отчет и прогн. потребление'!D67/1000</f>
        <v>734.15099999999995</v>
      </c>
      <c r="S15" s="1900">
        <f>'4. Отчет и прогн. потребление'!E67/1000</f>
        <v>710</v>
      </c>
      <c r="T15" s="1900">
        <f>'4. Отчет и прогн. потребление'!F67/1000</f>
        <v>229.214</v>
      </c>
      <c r="U15" s="1900">
        <f>'4. Отчет и прогн. потребление'!G67/1000</f>
        <v>337</v>
      </c>
      <c r="V15" s="1900">
        <f>'4. Отчет и прогн. потребление'!H67/1000</f>
        <v>337</v>
      </c>
      <c r="W15" s="1900">
        <f>'4. Отчет и прогн. потребление'!I67/1000</f>
        <v>337</v>
      </c>
      <c r="X15" s="1901">
        <f>'4. Отчет и прогн. потребление'!J67/1000</f>
        <v>337</v>
      </c>
    </row>
    <row r="16" spans="1:24" ht="15" customHeight="1">
      <c r="A16" s="1012" t="s">
        <v>880</v>
      </c>
      <c r="B16" s="1014" t="s">
        <v>1381</v>
      </c>
      <c r="C16" s="1009" t="s">
        <v>1210</v>
      </c>
      <c r="D16" s="1874"/>
      <c r="E16" s="1872"/>
      <c r="F16" s="1872"/>
      <c r="G16" s="1872"/>
      <c r="H16" s="1872"/>
      <c r="I16" s="1872"/>
      <c r="J16" s="1873"/>
      <c r="K16" s="2500"/>
      <c r="L16" s="1879"/>
      <c r="M16" s="1871"/>
      <c r="N16" s="1872"/>
      <c r="O16" s="1872"/>
      <c r="P16" s="1872"/>
      <c r="Q16" s="1873"/>
      <c r="R16" s="1878">
        <f>'4. Отчет и прогн. потребление'!D69/1000</f>
        <v>626.71500000000003</v>
      </c>
      <c r="S16" s="1876">
        <f>'4. Отчет и прогн. потребление'!E69/1000</f>
        <v>600</v>
      </c>
      <c r="T16" s="1876">
        <f>'4. Отчет и прогн. потребление'!F69/1000</f>
        <v>108.874</v>
      </c>
      <c r="U16" s="1876">
        <f>'4. Отчет и прогн. потребление'!G69/1000</f>
        <v>220</v>
      </c>
      <c r="V16" s="1876">
        <f>'4. Отчет и прогн. потребление'!H69/1000</f>
        <v>220</v>
      </c>
      <c r="W16" s="1876">
        <f>'4. Отчет и прогн. потребление'!I69/1000</f>
        <v>220</v>
      </c>
      <c r="X16" s="1877">
        <f>'4. Отчет и прогн. потребление'!J69/1000</f>
        <v>220</v>
      </c>
    </row>
    <row r="17" spans="1:24" ht="15" customHeight="1">
      <c r="A17" s="1012" t="s">
        <v>881</v>
      </c>
      <c r="B17" s="1014" t="s">
        <v>1382</v>
      </c>
      <c r="C17" s="1009" t="s">
        <v>1210</v>
      </c>
      <c r="D17" s="1874"/>
      <c r="E17" s="1872"/>
      <c r="F17" s="1872"/>
      <c r="G17" s="1872"/>
      <c r="H17" s="1872"/>
      <c r="I17" s="1872"/>
      <c r="J17" s="1873"/>
      <c r="K17" s="2500"/>
      <c r="L17" s="1879"/>
      <c r="M17" s="1871"/>
      <c r="N17" s="1872"/>
      <c r="O17" s="1872"/>
      <c r="P17" s="1872"/>
      <c r="Q17" s="1873"/>
      <c r="R17" s="1878">
        <f>'4. Отчет и прогн. потребление'!D70/1000</f>
        <v>55.491999999999997</v>
      </c>
      <c r="S17" s="1876">
        <f>'4. Отчет и прогн. потребление'!E70/1000</f>
        <v>50</v>
      </c>
      <c r="T17" s="1876">
        <f>'4. Отчет и прогн. потребление'!F70/1000</f>
        <v>69.709999999999994</v>
      </c>
      <c r="U17" s="1876">
        <f>'4. Отчет и прогн. потребление'!G70/1000</f>
        <v>54</v>
      </c>
      <c r="V17" s="1876">
        <f>'4. Отчет и прогн. потребление'!H70/1000</f>
        <v>54</v>
      </c>
      <c r="W17" s="1876">
        <f>'4. Отчет и прогн. потребление'!I70/1000</f>
        <v>54</v>
      </c>
      <c r="X17" s="1877">
        <f>'4. Отчет и прогн. потребление'!J70/1000</f>
        <v>54</v>
      </c>
    </row>
    <row r="18" spans="1:24" ht="15" customHeight="1" thickBot="1">
      <c r="A18" s="1015" t="s">
        <v>882</v>
      </c>
      <c r="B18" s="1016" t="s">
        <v>1383</v>
      </c>
      <c r="C18" s="1017" t="s">
        <v>1210</v>
      </c>
      <c r="D18" s="1880"/>
      <c r="E18" s="1881"/>
      <c r="F18" s="1881"/>
      <c r="G18" s="1881"/>
      <c r="H18" s="1881"/>
      <c r="I18" s="1881"/>
      <c r="J18" s="1882"/>
      <c r="K18" s="2501"/>
      <c r="L18" s="1883"/>
      <c r="M18" s="1884"/>
      <c r="N18" s="1881"/>
      <c r="O18" s="1881"/>
      <c r="P18" s="1881"/>
      <c r="Q18" s="1882"/>
      <c r="R18" s="1885">
        <f>'4. Отчет и прогн. потребление'!D71/1000</f>
        <v>51.944000000000003</v>
      </c>
      <c r="S18" s="1886">
        <f>'4. Отчет и прогн. потребление'!E71/1000</f>
        <v>60</v>
      </c>
      <c r="T18" s="1886">
        <f>'4. Отчет и прогн. потребление'!F71/1000</f>
        <v>50.63</v>
      </c>
      <c r="U18" s="1886">
        <f>'4. Отчет и прогн. потребление'!G71/1000</f>
        <v>63</v>
      </c>
      <c r="V18" s="1886">
        <f>'4. Отчет и прогн. потребление'!H71/1000</f>
        <v>63</v>
      </c>
      <c r="W18" s="1886">
        <f>'4. Отчет и прогн. потребление'!I71/1000</f>
        <v>63</v>
      </c>
      <c r="X18" s="1887">
        <f>'4. Отчет и прогн. потребление'!J71/1000</f>
        <v>63</v>
      </c>
    </row>
    <row r="19" spans="1:24" ht="15" customHeight="1">
      <c r="A19" s="72"/>
      <c r="B19" s="73" t="s">
        <v>263</v>
      </c>
      <c r="C19" s="74"/>
      <c r="D19" s="74"/>
      <c r="E19" s="74"/>
      <c r="F19" s="1888"/>
      <c r="G19" s="1889"/>
      <c r="H19" s="1890"/>
      <c r="I19" s="1891"/>
      <c r="J19" s="1891"/>
      <c r="K19" s="1891"/>
      <c r="L19" s="1891"/>
    </row>
    <row r="20" spans="1:24" ht="15" customHeight="1" thickBot="1">
      <c r="A20" s="3612" t="s">
        <v>367</v>
      </c>
      <c r="B20" s="3612"/>
      <c r="C20" s="3612"/>
      <c r="D20" s="1618"/>
      <c r="E20" s="1618"/>
      <c r="F20" s="1888"/>
      <c r="G20" s="1889"/>
      <c r="H20" s="1890"/>
      <c r="I20" s="1891"/>
      <c r="J20" s="1891"/>
      <c r="K20" s="1891"/>
      <c r="L20" s="1891"/>
    </row>
    <row r="21" spans="1:24" ht="15" customHeight="1">
      <c r="A21" s="3615" t="s">
        <v>1</v>
      </c>
      <c r="B21" s="3617" t="s">
        <v>359</v>
      </c>
      <c r="C21" s="3613" t="s">
        <v>222</v>
      </c>
      <c r="D21" s="3598" t="s">
        <v>241</v>
      </c>
      <c r="E21" s="3599"/>
      <c r="F21" s="3599"/>
      <c r="G21" s="3599"/>
      <c r="H21" s="3599"/>
      <c r="I21" s="3599"/>
      <c r="J21" s="3600"/>
    </row>
    <row r="22" spans="1:24" ht="13.5" thickBot="1">
      <c r="A22" s="3616"/>
      <c r="B22" s="3618"/>
      <c r="C22" s="3614"/>
      <c r="D22" s="1018" t="str">
        <f t="shared" ref="D22:E22" si="6">D8</f>
        <v>2015 г.</v>
      </c>
      <c r="E22" s="1018" t="str">
        <f t="shared" si="6"/>
        <v>2016 г.</v>
      </c>
      <c r="F22" s="1018" t="str">
        <f>F8</f>
        <v>2017 г.</v>
      </c>
      <c r="G22" s="1018" t="str">
        <f>G8</f>
        <v>2018 г.</v>
      </c>
      <c r="H22" s="1018" t="str">
        <f>H8</f>
        <v>2019 г.</v>
      </c>
      <c r="I22" s="1018" t="str">
        <f>I8</f>
        <v>2020 г.</v>
      </c>
      <c r="J22" s="1019" t="str">
        <f>J8</f>
        <v>2021 г.</v>
      </c>
      <c r="N22" s="1892" t="s">
        <v>263</v>
      </c>
    </row>
    <row r="23" spans="1:24" ht="13.5" customHeight="1" thickBot="1">
      <c r="A23" s="2493">
        <v>1</v>
      </c>
      <c r="B23" s="2494" t="s">
        <v>368</v>
      </c>
      <c r="C23" s="1863"/>
      <c r="D23" s="1863"/>
      <c r="E23" s="1863"/>
      <c r="F23" s="1893"/>
      <c r="G23" s="1893"/>
      <c r="H23" s="1893"/>
      <c r="I23" s="1893"/>
      <c r="J23" s="1894"/>
      <c r="K23" s="1895"/>
      <c r="L23" s="1895"/>
      <c r="P23" s="1892" t="s">
        <v>263</v>
      </c>
    </row>
    <row r="24" spans="1:24">
      <c r="A24" s="1020" t="s">
        <v>98</v>
      </c>
      <c r="B24" s="1022" t="s">
        <v>369</v>
      </c>
      <c r="C24" s="2159" t="s">
        <v>1211</v>
      </c>
      <c r="D24" s="2162"/>
      <c r="E24" s="2163"/>
      <c r="F24" s="3145">
        <v>1.6</v>
      </c>
      <c r="G24" s="3145">
        <v>1.6</v>
      </c>
      <c r="H24" s="3145">
        <v>1.6</v>
      </c>
      <c r="I24" s="3145">
        <v>1.6</v>
      </c>
      <c r="J24" s="3148">
        <v>1.6</v>
      </c>
      <c r="K24" s="1190"/>
      <c r="L24" s="1190"/>
    </row>
    <row r="25" spans="1:24">
      <c r="A25" s="77" t="s">
        <v>99</v>
      </c>
      <c r="B25" s="1023" t="s">
        <v>370</v>
      </c>
      <c r="C25" s="2160" t="s">
        <v>1211</v>
      </c>
      <c r="D25" s="1874"/>
      <c r="E25" s="1872"/>
      <c r="F25" s="3147">
        <v>2</v>
      </c>
      <c r="G25" s="3147">
        <v>2</v>
      </c>
      <c r="H25" s="3147">
        <v>2</v>
      </c>
      <c r="I25" s="3147">
        <v>2</v>
      </c>
      <c r="J25" s="3134">
        <v>2</v>
      </c>
      <c r="K25" s="1190"/>
      <c r="L25" s="1190"/>
    </row>
    <row r="26" spans="1:24" ht="13.5" thickBot="1">
      <c r="A26" s="1021" t="s">
        <v>101</v>
      </c>
      <c r="B26" s="1024" t="s">
        <v>371</v>
      </c>
      <c r="C26" s="2161" t="s">
        <v>1211</v>
      </c>
      <c r="D26" s="1880"/>
      <c r="E26" s="1881"/>
      <c r="F26" s="3146">
        <v>2.5</v>
      </c>
      <c r="G26" s="3146">
        <v>2.5</v>
      </c>
      <c r="H26" s="3146">
        <v>2.5</v>
      </c>
      <c r="I26" s="3146">
        <v>2.5</v>
      </c>
      <c r="J26" s="3149">
        <v>2.5</v>
      </c>
      <c r="K26" s="1190"/>
      <c r="L26" s="1190"/>
    </row>
    <row r="27" spans="1:24" ht="15">
      <c r="A27" s="72"/>
      <c r="B27" s="76"/>
      <c r="C27" s="74"/>
      <c r="D27" s="74"/>
      <c r="E27" s="74"/>
    </row>
    <row r="28" spans="1:24" ht="15">
      <c r="A28" s="72"/>
      <c r="B28" s="76"/>
      <c r="C28" s="74"/>
      <c r="D28" s="74"/>
      <c r="E28" s="74"/>
    </row>
    <row r="29" spans="1:24" ht="14.25">
      <c r="A29" s="72"/>
      <c r="B29" s="396" t="str">
        <f>'15. ОПП'!A51</f>
        <v>Дата: 27.06.2016г.</v>
      </c>
      <c r="C29" s="74"/>
      <c r="D29" s="1358"/>
      <c r="E29" s="1359" t="str">
        <f>'14. ОПР'!D49</f>
        <v>Главен счетоводител:</v>
      </c>
      <c r="F29" s="652"/>
      <c r="G29" s="652" t="s">
        <v>262</v>
      </c>
      <c r="H29" s="533"/>
      <c r="I29" s="533"/>
    </row>
    <row r="30" spans="1:24">
      <c r="F30" s="1896"/>
      <c r="G30" s="653"/>
      <c r="H30" s="291" t="s">
        <v>5</v>
      </c>
      <c r="I30" s="533"/>
    </row>
    <row r="31" spans="1:24">
      <c r="F31" s="1896"/>
      <c r="G31" s="653"/>
      <c r="H31" s="291"/>
      <c r="I31" s="533"/>
    </row>
    <row r="32" spans="1:24">
      <c r="F32" s="1896"/>
      <c r="G32" s="653"/>
      <c r="H32" s="291"/>
      <c r="I32" s="533"/>
    </row>
    <row r="33" spans="1:10">
      <c r="F33" s="1896"/>
      <c r="G33" s="653"/>
      <c r="H33" s="291"/>
      <c r="I33" s="533"/>
    </row>
    <row r="34" spans="1:10">
      <c r="E34" s="1359" t="str">
        <f>'14. ОПР'!E54</f>
        <v>Управител:</v>
      </c>
      <c r="G34" s="652" t="s">
        <v>262</v>
      </c>
      <c r="H34" s="652"/>
      <c r="I34" s="533"/>
    </row>
    <row r="35" spans="1:10">
      <c r="A35" s="3592" t="s">
        <v>247</v>
      </c>
      <c r="B35" s="3592"/>
      <c r="C35" s="3592"/>
      <c r="D35" s="534"/>
      <c r="E35" s="534"/>
      <c r="F35" s="1897"/>
      <c r="G35" s="653"/>
      <c r="H35" s="291" t="s">
        <v>6</v>
      </c>
      <c r="I35" s="533"/>
    </row>
    <row r="36" spans="1:10">
      <c r="A36" s="3595" t="s">
        <v>248</v>
      </c>
      <c r="B36" s="3595"/>
      <c r="C36" s="3595"/>
      <c r="D36" s="1898"/>
      <c r="E36" s="1898"/>
    </row>
    <row r="37" spans="1:10">
      <c r="A37" s="3595" t="s">
        <v>1310</v>
      </c>
      <c r="B37" s="3595"/>
      <c r="C37" s="3595"/>
    </row>
    <row r="38" spans="1:10">
      <c r="A38" s="3596" t="s">
        <v>1392</v>
      </c>
      <c r="B38" s="3596"/>
      <c r="C38" s="3596"/>
    </row>
    <row r="39" spans="1:10">
      <c r="A39" s="3596" t="s">
        <v>1393</v>
      </c>
      <c r="B39" s="3596"/>
      <c r="C39" s="3596"/>
    </row>
    <row r="40" spans="1:10">
      <c r="A40" s="3596" t="s">
        <v>1394</v>
      </c>
      <c r="B40" s="3596"/>
      <c r="C40" s="3596"/>
    </row>
    <row r="41" spans="1:10">
      <c r="A41" s="3597" t="s">
        <v>1311</v>
      </c>
      <c r="B41" s="3597"/>
      <c r="C41" s="3597"/>
      <c r="D41" s="3597"/>
      <c r="E41" s="3597"/>
      <c r="F41" s="3597"/>
      <c r="G41" s="3597"/>
      <c r="H41" s="3597"/>
      <c r="I41" s="3597"/>
      <c r="J41" s="3597"/>
    </row>
  </sheetData>
  <sheetProtection algorithmName="SHA-512" hashValue="aPVIcSdGfz5wKZ0g0EjdI+LntmwrD3GN6B8/ACWk6ypl4oQPv6Q3N1sQVZoNBp4AZ5T7a9a18OcFQWo5zfsyUw==" saltValue="Tl9bRIzzpf/QZhx2xOqcOQ==" spinCount="100000" sheet="1" objects="1" scenarios="1" formatCells="0" formatColumns="0" formatRows="0"/>
  <mergeCells count="22">
    <mergeCell ref="A35:C35"/>
    <mergeCell ref="A36:C36"/>
    <mergeCell ref="A20:C20"/>
    <mergeCell ref="C21:C22"/>
    <mergeCell ref="A21:A22"/>
    <mergeCell ref="B21:B22"/>
    <mergeCell ref="D21:J21"/>
    <mergeCell ref="A7:A8"/>
    <mergeCell ref="B7:B8"/>
    <mergeCell ref="C7:C8"/>
    <mergeCell ref="A2:X2"/>
    <mergeCell ref="A3:X3"/>
    <mergeCell ref="A4:X4"/>
    <mergeCell ref="A5:X5"/>
    <mergeCell ref="D7:J7"/>
    <mergeCell ref="K7:Q7"/>
    <mergeCell ref="R7:X7"/>
    <mergeCell ref="A37:C37"/>
    <mergeCell ref="A38:C38"/>
    <mergeCell ref="A39:C39"/>
    <mergeCell ref="A40:C40"/>
    <mergeCell ref="A41:J41"/>
  </mergeCells>
  <printOptions horizontalCentered="1"/>
  <pageMargins left="0.19685039370078741" right="0.19685039370078741" top="0.78740157480314965" bottom="0.19685039370078741" header="0.31496062992125984" footer="0.31496062992125984"/>
  <pageSetup paperSize="9" scale="71"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70C0"/>
  </sheetPr>
  <dimension ref="A1:W31"/>
  <sheetViews>
    <sheetView showGridLines="0" zoomScaleNormal="100" workbookViewId="0">
      <selection activeCell="L24" sqref="L24"/>
    </sheetView>
  </sheetViews>
  <sheetFormatPr defaultRowHeight="12"/>
  <cols>
    <col min="1" max="1" width="4.28515625" style="394" customWidth="1"/>
    <col min="2" max="2" width="37.140625" style="394" customWidth="1"/>
    <col min="3" max="4" width="8.85546875" style="394" customWidth="1"/>
    <col min="5" max="9" width="9.7109375" style="394" bestFit="1" customWidth="1"/>
    <col min="10" max="23" width="8.85546875" style="394" customWidth="1"/>
    <col min="24" max="246" width="9.140625" style="394"/>
    <col min="247" max="247" width="4.28515625" style="394" customWidth="1"/>
    <col min="248" max="248" width="40.7109375" style="394" customWidth="1"/>
    <col min="249" max="256" width="8.7109375" style="394" customWidth="1"/>
    <col min="257" max="258" width="0" style="394" hidden="1" customWidth="1"/>
    <col min="259" max="502" width="9.140625" style="394"/>
    <col min="503" max="503" width="4.28515625" style="394" customWidth="1"/>
    <col min="504" max="504" width="40.7109375" style="394" customWidth="1"/>
    <col min="505" max="512" width="8.7109375" style="394" customWidth="1"/>
    <col min="513" max="514" width="0" style="394" hidden="1" customWidth="1"/>
    <col min="515" max="758" width="9.140625" style="394"/>
    <col min="759" max="759" width="4.28515625" style="394" customWidth="1"/>
    <col min="760" max="760" width="40.7109375" style="394" customWidth="1"/>
    <col min="761" max="768" width="8.7109375" style="394" customWidth="1"/>
    <col min="769" max="770" width="0" style="394" hidden="1" customWidth="1"/>
    <col min="771" max="1014" width="9.140625" style="394"/>
    <col min="1015" max="1015" width="4.28515625" style="394" customWidth="1"/>
    <col min="1016" max="1016" width="40.7109375" style="394" customWidth="1"/>
    <col min="1017" max="1024" width="8.7109375" style="394" customWidth="1"/>
    <col min="1025" max="1026" width="0" style="394" hidden="1" customWidth="1"/>
    <col min="1027" max="1270" width="9.140625" style="394"/>
    <col min="1271" max="1271" width="4.28515625" style="394" customWidth="1"/>
    <col min="1272" max="1272" width="40.7109375" style="394" customWidth="1"/>
    <col min="1273" max="1280" width="8.7109375" style="394" customWidth="1"/>
    <col min="1281" max="1282" width="0" style="394" hidden="1" customWidth="1"/>
    <col min="1283" max="1526" width="9.140625" style="394"/>
    <col min="1527" max="1527" width="4.28515625" style="394" customWidth="1"/>
    <col min="1528" max="1528" width="40.7109375" style="394" customWidth="1"/>
    <col min="1529" max="1536" width="8.7109375" style="394" customWidth="1"/>
    <col min="1537" max="1538" width="0" style="394" hidden="1" customWidth="1"/>
    <col min="1539" max="1782" width="9.140625" style="394"/>
    <col min="1783" max="1783" width="4.28515625" style="394" customWidth="1"/>
    <col min="1784" max="1784" width="40.7109375" style="394" customWidth="1"/>
    <col min="1785" max="1792" width="8.7109375" style="394" customWidth="1"/>
    <col min="1793" max="1794" width="0" style="394" hidden="1" customWidth="1"/>
    <col min="1795" max="2038" width="9.140625" style="394"/>
    <col min="2039" max="2039" width="4.28515625" style="394" customWidth="1"/>
    <col min="2040" max="2040" width="40.7109375" style="394" customWidth="1"/>
    <col min="2041" max="2048" width="8.7109375" style="394" customWidth="1"/>
    <col min="2049" max="2050" width="0" style="394" hidden="1" customWidth="1"/>
    <col min="2051" max="2294" width="9.140625" style="394"/>
    <col min="2295" max="2295" width="4.28515625" style="394" customWidth="1"/>
    <col min="2296" max="2296" width="40.7109375" style="394" customWidth="1"/>
    <col min="2297" max="2304" width="8.7109375" style="394" customWidth="1"/>
    <col min="2305" max="2306" width="0" style="394" hidden="1" customWidth="1"/>
    <col min="2307" max="2550" width="9.140625" style="394"/>
    <col min="2551" max="2551" width="4.28515625" style="394" customWidth="1"/>
    <col min="2552" max="2552" width="40.7109375" style="394" customWidth="1"/>
    <col min="2553" max="2560" width="8.7109375" style="394" customWidth="1"/>
    <col min="2561" max="2562" width="0" style="394" hidden="1" customWidth="1"/>
    <col min="2563" max="2806" width="9.140625" style="394"/>
    <col min="2807" max="2807" width="4.28515625" style="394" customWidth="1"/>
    <col min="2808" max="2808" width="40.7109375" style="394" customWidth="1"/>
    <col min="2809" max="2816" width="8.7109375" style="394" customWidth="1"/>
    <col min="2817" max="2818" width="0" style="394" hidden="1" customWidth="1"/>
    <col min="2819" max="3062" width="9.140625" style="394"/>
    <col min="3063" max="3063" width="4.28515625" style="394" customWidth="1"/>
    <col min="3064" max="3064" width="40.7109375" style="394" customWidth="1"/>
    <col min="3065" max="3072" width="8.7109375" style="394" customWidth="1"/>
    <col min="3073" max="3074" width="0" style="394" hidden="1" customWidth="1"/>
    <col min="3075" max="3318" width="9.140625" style="394"/>
    <col min="3319" max="3319" width="4.28515625" style="394" customWidth="1"/>
    <col min="3320" max="3320" width="40.7109375" style="394" customWidth="1"/>
    <col min="3321" max="3328" width="8.7109375" style="394" customWidth="1"/>
    <col min="3329" max="3330" width="0" style="394" hidden="1" customWidth="1"/>
    <col min="3331" max="3574" width="9.140625" style="394"/>
    <col min="3575" max="3575" width="4.28515625" style="394" customWidth="1"/>
    <col min="3576" max="3576" width="40.7109375" style="394" customWidth="1"/>
    <col min="3577" max="3584" width="8.7109375" style="394" customWidth="1"/>
    <col min="3585" max="3586" width="0" style="394" hidden="1" customWidth="1"/>
    <col min="3587" max="3830" width="9.140625" style="394"/>
    <col min="3831" max="3831" width="4.28515625" style="394" customWidth="1"/>
    <col min="3832" max="3832" width="40.7109375" style="394" customWidth="1"/>
    <col min="3833" max="3840" width="8.7109375" style="394" customWidth="1"/>
    <col min="3841" max="3842" width="0" style="394" hidden="1" customWidth="1"/>
    <col min="3843" max="4086" width="9.140625" style="394"/>
    <col min="4087" max="4087" width="4.28515625" style="394" customWidth="1"/>
    <col min="4088" max="4088" width="40.7109375" style="394" customWidth="1"/>
    <col min="4089" max="4096" width="8.7109375" style="394" customWidth="1"/>
    <col min="4097" max="4098" width="0" style="394" hidden="1" customWidth="1"/>
    <col min="4099" max="4342" width="9.140625" style="394"/>
    <col min="4343" max="4343" width="4.28515625" style="394" customWidth="1"/>
    <col min="4344" max="4344" width="40.7109375" style="394" customWidth="1"/>
    <col min="4345" max="4352" width="8.7109375" style="394" customWidth="1"/>
    <col min="4353" max="4354" width="0" style="394" hidden="1" customWidth="1"/>
    <col min="4355" max="4598" width="9.140625" style="394"/>
    <col min="4599" max="4599" width="4.28515625" style="394" customWidth="1"/>
    <col min="4600" max="4600" width="40.7109375" style="394" customWidth="1"/>
    <col min="4601" max="4608" width="8.7109375" style="394" customWidth="1"/>
    <col min="4609" max="4610" width="0" style="394" hidden="1" customWidth="1"/>
    <col min="4611" max="4854" width="9.140625" style="394"/>
    <col min="4855" max="4855" width="4.28515625" style="394" customWidth="1"/>
    <col min="4856" max="4856" width="40.7109375" style="394" customWidth="1"/>
    <col min="4857" max="4864" width="8.7109375" style="394" customWidth="1"/>
    <col min="4865" max="4866" width="0" style="394" hidden="1" customWidth="1"/>
    <col min="4867" max="5110" width="9.140625" style="394"/>
    <col min="5111" max="5111" width="4.28515625" style="394" customWidth="1"/>
    <col min="5112" max="5112" width="40.7109375" style="394" customWidth="1"/>
    <col min="5113" max="5120" width="8.7109375" style="394" customWidth="1"/>
    <col min="5121" max="5122" width="0" style="394" hidden="1" customWidth="1"/>
    <col min="5123" max="5366" width="9.140625" style="394"/>
    <col min="5367" max="5367" width="4.28515625" style="394" customWidth="1"/>
    <col min="5368" max="5368" width="40.7109375" style="394" customWidth="1"/>
    <col min="5369" max="5376" width="8.7109375" style="394" customWidth="1"/>
    <col min="5377" max="5378" width="0" style="394" hidden="1" customWidth="1"/>
    <col min="5379" max="5622" width="9.140625" style="394"/>
    <col min="5623" max="5623" width="4.28515625" style="394" customWidth="1"/>
    <col min="5624" max="5624" width="40.7109375" style="394" customWidth="1"/>
    <col min="5625" max="5632" width="8.7109375" style="394" customWidth="1"/>
    <col min="5633" max="5634" width="0" style="394" hidden="1" customWidth="1"/>
    <col min="5635" max="5878" width="9.140625" style="394"/>
    <col min="5879" max="5879" width="4.28515625" style="394" customWidth="1"/>
    <col min="5880" max="5880" width="40.7109375" style="394" customWidth="1"/>
    <col min="5881" max="5888" width="8.7109375" style="394" customWidth="1"/>
    <col min="5889" max="5890" width="0" style="394" hidden="1" customWidth="1"/>
    <col min="5891" max="6134" width="9.140625" style="394"/>
    <col min="6135" max="6135" width="4.28515625" style="394" customWidth="1"/>
    <col min="6136" max="6136" width="40.7109375" style="394" customWidth="1"/>
    <col min="6137" max="6144" width="8.7109375" style="394" customWidth="1"/>
    <col min="6145" max="6146" width="0" style="394" hidden="1" customWidth="1"/>
    <col min="6147" max="6390" width="9.140625" style="394"/>
    <col min="6391" max="6391" width="4.28515625" style="394" customWidth="1"/>
    <col min="6392" max="6392" width="40.7109375" style="394" customWidth="1"/>
    <col min="6393" max="6400" width="8.7109375" style="394" customWidth="1"/>
    <col min="6401" max="6402" width="0" style="394" hidden="1" customWidth="1"/>
    <col min="6403" max="6646" width="9.140625" style="394"/>
    <col min="6647" max="6647" width="4.28515625" style="394" customWidth="1"/>
    <col min="6648" max="6648" width="40.7109375" style="394" customWidth="1"/>
    <col min="6649" max="6656" width="8.7109375" style="394" customWidth="1"/>
    <col min="6657" max="6658" width="0" style="394" hidden="1" customWidth="1"/>
    <col min="6659" max="6902" width="9.140625" style="394"/>
    <col min="6903" max="6903" width="4.28515625" style="394" customWidth="1"/>
    <col min="6904" max="6904" width="40.7109375" style="394" customWidth="1"/>
    <col min="6905" max="6912" width="8.7109375" style="394" customWidth="1"/>
    <col min="6913" max="6914" width="0" style="394" hidden="1" customWidth="1"/>
    <col min="6915" max="7158" width="9.140625" style="394"/>
    <col min="7159" max="7159" width="4.28515625" style="394" customWidth="1"/>
    <col min="7160" max="7160" width="40.7109375" style="394" customWidth="1"/>
    <col min="7161" max="7168" width="8.7109375" style="394" customWidth="1"/>
    <col min="7169" max="7170" width="0" style="394" hidden="1" customWidth="1"/>
    <col min="7171" max="7414" width="9.140625" style="394"/>
    <col min="7415" max="7415" width="4.28515625" style="394" customWidth="1"/>
    <col min="7416" max="7416" width="40.7109375" style="394" customWidth="1"/>
    <col min="7417" max="7424" width="8.7109375" style="394" customWidth="1"/>
    <col min="7425" max="7426" width="0" style="394" hidden="1" customWidth="1"/>
    <col min="7427" max="7670" width="9.140625" style="394"/>
    <col min="7671" max="7671" width="4.28515625" style="394" customWidth="1"/>
    <col min="7672" max="7672" width="40.7109375" style="394" customWidth="1"/>
    <col min="7673" max="7680" width="8.7109375" style="394" customWidth="1"/>
    <col min="7681" max="7682" width="0" style="394" hidden="1" customWidth="1"/>
    <col min="7683" max="7926" width="9.140625" style="394"/>
    <col min="7927" max="7927" width="4.28515625" style="394" customWidth="1"/>
    <col min="7928" max="7928" width="40.7109375" style="394" customWidth="1"/>
    <col min="7929" max="7936" width="8.7109375" style="394" customWidth="1"/>
    <col min="7937" max="7938" width="0" style="394" hidden="1" customWidth="1"/>
    <col min="7939" max="8182" width="9.140625" style="394"/>
    <col min="8183" max="8183" width="4.28515625" style="394" customWidth="1"/>
    <col min="8184" max="8184" width="40.7109375" style="394" customWidth="1"/>
    <col min="8185" max="8192" width="8.7109375" style="394" customWidth="1"/>
    <col min="8193" max="8194" width="0" style="394" hidden="1" customWidth="1"/>
    <col min="8195" max="8438" width="9.140625" style="394"/>
    <col min="8439" max="8439" width="4.28515625" style="394" customWidth="1"/>
    <col min="8440" max="8440" width="40.7109375" style="394" customWidth="1"/>
    <col min="8441" max="8448" width="8.7109375" style="394" customWidth="1"/>
    <col min="8449" max="8450" width="0" style="394" hidden="1" customWidth="1"/>
    <col min="8451" max="8694" width="9.140625" style="394"/>
    <col min="8695" max="8695" width="4.28515625" style="394" customWidth="1"/>
    <col min="8696" max="8696" width="40.7109375" style="394" customWidth="1"/>
    <col min="8697" max="8704" width="8.7109375" style="394" customWidth="1"/>
    <col min="8705" max="8706" width="0" style="394" hidden="1" customWidth="1"/>
    <col min="8707" max="8950" width="9.140625" style="394"/>
    <col min="8951" max="8951" width="4.28515625" style="394" customWidth="1"/>
    <col min="8952" max="8952" width="40.7109375" style="394" customWidth="1"/>
    <col min="8953" max="8960" width="8.7109375" style="394" customWidth="1"/>
    <col min="8961" max="8962" width="0" style="394" hidden="1" customWidth="1"/>
    <col min="8963" max="9206" width="9.140625" style="394"/>
    <col min="9207" max="9207" width="4.28515625" style="394" customWidth="1"/>
    <col min="9208" max="9208" width="40.7109375" style="394" customWidth="1"/>
    <col min="9209" max="9216" width="8.7109375" style="394" customWidth="1"/>
    <col min="9217" max="9218" width="0" style="394" hidden="1" customWidth="1"/>
    <col min="9219" max="9462" width="9.140625" style="394"/>
    <col min="9463" max="9463" width="4.28515625" style="394" customWidth="1"/>
    <col min="9464" max="9464" width="40.7109375" style="394" customWidth="1"/>
    <col min="9465" max="9472" width="8.7109375" style="394" customWidth="1"/>
    <col min="9473" max="9474" width="0" style="394" hidden="1" customWidth="1"/>
    <col min="9475" max="9718" width="9.140625" style="394"/>
    <col min="9719" max="9719" width="4.28515625" style="394" customWidth="1"/>
    <col min="9720" max="9720" width="40.7109375" style="394" customWidth="1"/>
    <col min="9721" max="9728" width="8.7109375" style="394" customWidth="1"/>
    <col min="9729" max="9730" width="0" style="394" hidden="1" customWidth="1"/>
    <col min="9731" max="9974" width="9.140625" style="394"/>
    <col min="9975" max="9975" width="4.28515625" style="394" customWidth="1"/>
    <col min="9976" max="9976" width="40.7109375" style="394" customWidth="1"/>
    <col min="9977" max="9984" width="8.7109375" style="394" customWidth="1"/>
    <col min="9985" max="9986" width="0" style="394" hidden="1" customWidth="1"/>
    <col min="9987" max="10230" width="9.140625" style="394"/>
    <col min="10231" max="10231" width="4.28515625" style="394" customWidth="1"/>
    <col min="10232" max="10232" width="40.7109375" style="394" customWidth="1"/>
    <col min="10233" max="10240" width="8.7109375" style="394" customWidth="1"/>
    <col min="10241" max="10242" width="0" style="394" hidden="1" customWidth="1"/>
    <col min="10243" max="10486" width="9.140625" style="394"/>
    <col min="10487" max="10487" width="4.28515625" style="394" customWidth="1"/>
    <col min="10488" max="10488" width="40.7109375" style="394" customWidth="1"/>
    <col min="10489" max="10496" width="8.7109375" style="394" customWidth="1"/>
    <col min="10497" max="10498" width="0" style="394" hidden="1" customWidth="1"/>
    <col min="10499" max="10742" width="9.140625" style="394"/>
    <col min="10743" max="10743" width="4.28515625" style="394" customWidth="1"/>
    <col min="10744" max="10744" width="40.7109375" style="394" customWidth="1"/>
    <col min="10745" max="10752" width="8.7109375" style="394" customWidth="1"/>
    <col min="10753" max="10754" width="0" style="394" hidden="1" customWidth="1"/>
    <col min="10755" max="10998" width="9.140625" style="394"/>
    <col min="10999" max="10999" width="4.28515625" style="394" customWidth="1"/>
    <col min="11000" max="11000" width="40.7109375" style="394" customWidth="1"/>
    <col min="11001" max="11008" width="8.7109375" style="394" customWidth="1"/>
    <col min="11009" max="11010" width="0" style="394" hidden="1" customWidth="1"/>
    <col min="11011" max="11254" width="9.140625" style="394"/>
    <col min="11255" max="11255" width="4.28515625" style="394" customWidth="1"/>
    <col min="11256" max="11256" width="40.7109375" style="394" customWidth="1"/>
    <col min="11257" max="11264" width="8.7109375" style="394" customWidth="1"/>
    <col min="11265" max="11266" width="0" style="394" hidden="1" customWidth="1"/>
    <col min="11267" max="11510" width="9.140625" style="394"/>
    <col min="11511" max="11511" width="4.28515625" style="394" customWidth="1"/>
    <col min="11512" max="11512" width="40.7109375" style="394" customWidth="1"/>
    <col min="11513" max="11520" width="8.7109375" style="394" customWidth="1"/>
    <col min="11521" max="11522" width="0" style="394" hidden="1" customWidth="1"/>
    <col min="11523" max="11766" width="9.140625" style="394"/>
    <col min="11767" max="11767" width="4.28515625" style="394" customWidth="1"/>
    <col min="11768" max="11768" width="40.7109375" style="394" customWidth="1"/>
    <col min="11769" max="11776" width="8.7109375" style="394" customWidth="1"/>
    <col min="11777" max="11778" width="0" style="394" hidden="1" customWidth="1"/>
    <col min="11779" max="12022" width="9.140625" style="394"/>
    <col min="12023" max="12023" width="4.28515625" style="394" customWidth="1"/>
    <col min="12024" max="12024" width="40.7109375" style="394" customWidth="1"/>
    <col min="12025" max="12032" width="8.7109375" style="394" customWidth="1"/>
    <col min="12033" max="12034" width="0" style="394" hidden="1" customWidth="1"/>
    <col min="12035" max="12278" width="9.140625" style="394"/>
    <col min="12279" max="12279" width="4.28515625" style="394" customWidth="1"/>
    <col min="12280" max="12280" width="40.7109375" style="394" customWidth="1"/>
    <col min="12281" max="12288" width="8.7109375" style="394" customWidth="1"/>
    <col min="12289" max="12290" width="0" style="394" hidden="1" customWidth="1"/>
    <col min="12291" max="12534" width="9.140625" style="394"/>
    <col min="12535" max="12535" width="4.28515625" style="394" customWidth="1"/>
    <col min="12536" max="12536" width="40.7109375" style="394" customWidth="1"/>
    <col min="12537" max="12544" width="8.7109375" style="394" customWidth="1"/>
    <col min="12545" max="12546" width="0" style="394" hidden="1" customWidth="1"/>
    <col min="12547" max="12790" width="9.140625" style="394"/>
    <col min="12791" max="12791" width="4.28515625" style="394" customWidth="1"/>
    <col min="12792" max="12792" width="40.7109375" style="394" customWidth="1"/>
    <col min="12793" max="12800" width="8.7109375" style="394" customWidth="1"/>
    <col min="12801" max="12802" width="0" style="394" hidden="1" customWidth="1"/>
    <col min="12803" max="13046" width="9.140625" style="394"/>
    <col min="13047" max="13047" width="4.28515625" style="394" customWidth="1"/>
    <col min="13048" max="13048" width="40.7109375" style="394" customWidth="1"/>
    <col min="13049" max="13056" width="8.7109375" style="394" customWidth="1"/>
    <col min="13057" max="13058" width="0" style="394" hidden="1" customWidth="1"/>
    <col min="13059" max="13302" width="9.140625" style="394"/>
    <col min="13303" max="13303" width="4.28515625" style="394" customWidth="1"/>
    <col min="13304" max="13304" width="40.7109375" style="394" customWidth="1"/>
    <col min="13305" max="13312" width="8.7109375" style="394" customWidth="1"/>
    <col min="13313" max="13314" width="0" style="394" hidden="1" customWidth="1"/>
    <col min="13315" max="13558" width="9.140625" style="394"/>
    <col min="13559" max="13559" width="4.28515625" style="394" customWidth="1"/>
    <col min="13560" max="13560" width="40.7109375" style="394" customWidth="1"/>
    <col min="13561" max="13568" width="8.7109375" style="394" customWidth="1"/>
    <col min="13569" max="13570" width="0" style="394" hidden="1" customWidth="1"/>
    <col min="13571" max="13814" width="9.140625" style="394"/>
    <col min="13815" max="13815" width="4.28515625" style="394" customWidth="1"/>
    <col min="13816" max="13816" width="40.7109375" style="394" customWidth="1"/>
    <col min="13817" max="13824" width="8.7109375" style="394" customWidth="1"/>
    <col min="13825" max="13826" width="0" style="394" hidden="1" customWidth="1"/>
    <col min="13827" max="14070" width="9.140625" style="394"/>
    <col min="14071" max="14071" width="4.28515625" style="394" customWidth="1"/>
    <col min="14072" max="14072" width="40.7109375" style="394" customWidth="1"/>
    <col min="14073" max="14080" width="8.7109375" style="394" customWidth="1"/>
    <col min="14081" max="14082" width="0" style="394" hidden="1" customWidth="1"/>
    <col min="14083" max="14326" width="9.140625" style="394"/>
    <col min="14327" max="14327" width="4.28515625" style="394" customWidth="1"/>
    <col min="14328" max="14328" width="40.7109375" style="394" customWidth="1"/>
    <col min="14329" max="14336" width="8.7109375" style="394" customWidth="1"/>
    <col min="14337" max="14338" width="0" style="394" hidden="1" customWidth="1"/>
    <col min="14339" max="14582" width="9.140625" style="394"/>
    <col min="14583" max="14583" width="4.28515625" style="394" customWidth="1"/>
    <col min="14584" max="14584" width="40.7109375" style="394" customWidth="1"/>
    <col min="14585" max="14592" width="8.7109375" style="394" customWidth="1"/>
    <col min="14593" max="14594" width="0" style="394" hidden="1" customWidth="1"/>
    <col min="14595" max="14838" width="9.140625" style="394"/>
    <col min="14839" max="14839" width="4.28515625" style="394" customWidth="1"/>
    <col min="14840" max="14840" width="40.7109375" style="394" customWidth="1"/>
    <col min="14841" max="14848" width="8.7109375" style="394" customWidth="1"/>
    <col min="14849" max="14850" width="0" style="394" hidden="1" customWidth="1"/>
    <col min="14851" max="15094" width="9.140625" style="394"/>
    <col min="15095" max="15095" width="4.28515625" style="394" customWidth="1"/>
    <col min="15096" max="15096" width="40.7109375" style="394" customWidth="1"/>
    <col min="15097" max="15104" width="8.7109375" style="394" customWidth="1"/>
    <col min="15105" max="15106" width="0" style="394" hidden="1" customWidth="1"/>
    <col min="15107" max="15350" width="9.140625" style="394"/>
    <col min="15351" max="15351" width="4.28515625" style="394" customWidth="1"/>
    <col min="15352" max="15352" width="40.7109375" style="394" customWidth="1"/>
    <col min="15353" max="15360" width="8.7109375" style="394" customWidth="1"/>
    <col min="15361" max="15362" width="0" style="394" hidden="1" customWidth="1"/>
    <col min="15363" max="15606" width="9.140625" style="394"/>
    <col min="15607" max="15607" width="4.28515625" style="394" customWidth="1"/>
    <col min="15608" max="15608" width="40.7109375" style="394" customWidth="1"/>
    <col min="15609" max="15616" width="8.7109375" style="394" customWidth="1"/>
    <col min="15617" max="15618" width="0" style="394" hidden="1" customWidth="1"/>
    <col min="15619" max="15862" width="9.140625" style="394"/>
    <col min="15863" max="15863" width="4.28515625" style="394" customWidth="1"/>
    <col min="15864" max="15864" width="40.7109375" style="394" customWidth="1"/>
    <col min="15865" max="15872" width="8.7109375" style="394" customWidth="1"/>
    <col min="15873" max="15874" width="0" style="394" hidden="1" customWidth="1"/>
    <col min="15875" max="16118" width="9.140625" style="394"/>
    <col min="16119" max="16119" width="4.28515625" style="394" customWidth="1"/>
    <col min="16120" max="16120" width="40.7109375" style="394" customWidth="1"/>
    <col min="16121" max="16128" width="8.7109375" style="394" customWidth="1"/>
    <col min="16129" max="16130" width="0" style="394" hidden="1" customWidth="1"/>
    <col min="16131" max="16384" width="9.140625" style="394"/>
  </cols>
  <sheetData>
    <row r="1" spans="1:23" ht="13.5">
      <c r="V1" s="398"/>
      <c r="W1" s="399" t="str">
        <f>'16. Необходими приходи'!X1</f>
        <v>Приложение № 6</v>
      </c>
    </row>
    <row r="2" spans="1:23" ht="18.75">
      <c r="A2" s="3619" t="s">
        <v>747</v>
      </c>
      <c r="B2" s="3619"/>
      <c r="C2" s="3619"/>
      <c r="D2" s="3619"/>
      <c r="E2" s="3619"/>
      <c r="F2" s="3619"/>
      <c r="G2" s="3619"/>
      <c r="H2" s="3619"/>
      <c r="I2" s="3619"/>
      <c r="J2" s="3619"/>
      <c r="K2" s="3619"/>
      <c r="L2" s="3619"/>
      <c r="M2" s="3619"/>
      <c r="N2" s="3619"/>
      <c r="O2" s="3619"/>
      <c r="P2" s="3619"/>
      <c r="Q2" s="3619"/>
      <c r="R2" s="3619"/>
      <c r="S2" s="3619"/>
      <c r="T2" s="3619"/>
      <c r="U2" s="3619"/>
      <c r="V2" s="3619"/>
      <c r="W2" s="3619"/>
    </row>
    <row r="3" spans="1:23" ht="18.75">
      <c r="A3" s="3620" t="s">
        <v>490</v>
      </c>
      <c r="B3" s="3620"/>
      <c r="C3" s="3620"/>
      <c r="D3" s="3620"/>
      <c r="E3" s="3620"/>
      <c r="F3" s="3620"/>
      <c r="G3" s="3620"/>
      <c r="H3" s="3620"/>
      <c r="I3" s="3620"/>
      <c r="J3" s="3620"/>
      <c r="K3" s="3620"/>
      <c r="L3" s="3620"/>
      <c r="M3" s="3620"/>
      <c r="N3" s="3620"/>
      <c r="O3" s="3620"/>
      <c r="P3" s="3620"/>
      <c r="Q3" s="3620"/>
      <c r="R3" s="3620"/>
      <c r="S3" s="3620"/>
      <c r="T3" s="3620"/>
      <c r="U3" s="3620"/>
      <c r="V3" s="3620"/>
      <c r="W3" s="3620"/>
    </row>
    <row r="4" spans="1:23" ht="14.25" customHeight="1">
      <c r="A4" s="3621" t="str">
        <f>'1. Анкетна карта'!A3:J3</f>
        <v>на "Водоснабдяване и канализация" ООД , гр. Враца</v>
      </c>
      <c r="B4" s="3621"/>
      <c r="C4" s="3621"/>
      <c r="D4" s="3621"/>
      <c r="E4" s="3621"/>
      <c r="F4" s="3621"/>
      <c r="G4" s="3621"/>
      <c r="H4" s="3621"/>
      <c r="I4" s="3621"/>
      <c r="J4" s="3621"/>
      <c r="K4" s="3621"/>
      <c r="L4" s="3621"/>
      <c r="M4" s="3621"/>
      <c r="N4" s="3621"/>
      <c r="O4" s="3621"/>
      <c r="P4" s="3621"/>
      <c r="Q4" s="3621"/>
      <c r="R4" s="3621"/>
      <c r="S4" s="3621"/>
      <c r="T4" s="3621"/>
      <c r="U4" s="3621"/>
      <c r="V4" s="3621"/>
      <c r="W4" s="3621"/>
    </row>
    <row r="5" spans="1:23" ht="14.25" customHeight="1">
      <c r="A5" s="3621" t="str">
        <f>'1. Анкетна карта'!A4:J4</f>
        <v>ЕИК по БУЛСТАТ: 816090199</v>
      </c>
      <c r="B5" s="3621"/>
      <c r="C5" s="3621"/>
      <c r="D5" s="3621"/>
      <c r="E5" s="3621"/>
      <c r="F5" s="3621"/>
      <c r="G5" s="3621"/>
      <c r="H5" s="3621"/>
      <c r="I5" s="3621"/>
      <c r="J5" s="3621"/>
      <c r="K5" s="3621"/>
      <c r="L5" s="3621"/>
      <c r="M5" s="3621"/>
      <c r="N5" s="3621"/>
      <c r="O5" s="3621"/>
      <c r="P5" s="3621"/>
      <c r="Q5" s="3621"/>
      <c r="R5" s="3621"/>
      <c r="S5" s="3621"/>
      <c r="T5" s="3621"/>
      <c r="U5" s="3621"/>
      <c r="V5" s="3621"/>
      <c r="W5" s="3621"/>
    </row>
    <row r="6" spans="1:23" s="170" customFormat="1" ht="12.75" customHeight="1" thickBot="1">
      <c r="C6" s="170" t="s">
        <v>263</v>
      </c>
      <c r="D6" s="78"/>
      <c r="F6" s="78"/>
      <c r="J6" s="78"/>
      <c r="L6" s="78"/>
      <c r="N6" s="78"/>
      <c r="O6" s="78"/>
      <c r="W6" s="38" t="s">
        <v>250</v>
      </c>
    </row>
    <row r="7" spans="1:23" s="171" customFormat="1" ht="12.75" thickBot="1">
      <c r="A7" s="3622" t="s">
        <v>1</v>
      </c>
      <c r="B7" s="3625" t="s">
        <v>95</v>
      </c>
      <c r="C7" s="3628" t="s">
        <v>287</v>
      </c>
      <c r="D7" s="3629"/>
      <c r="E7" s="3629"/>
      <c r="F7" s="3629"/>
      <c r="G7" s="3629"/>
      <c r="H7" s="3629"/>
      <c r="I7" s="3629"/>
      <c r="J7" s="3629"/>
      <c r="K7" s="3629"/>
      <c r="L7" s="3629"/>
      <c r="M7" s="3629"/>
      <c r="N7" s="3629"/>
      <c r="O7" s="3629"/>
      <c r="P7" s="3629"/>
      <c r="Q7" s="3629"/>
      <c r="R7" s="3629"/>
      <c r="S7" s="3629"/>
      <c r="T7" s="3629"/>
      <c r="U7" s="3629"/>
      <c r="V7" s="3629"/>
      <c r="W7" s="3630"/>
    </row>
    <row r="8" spans="1:23" s="171" customFormat="1">
      <c r="A8" s="3623"/>
      <c r="B8" s="3626"/>
      <c r="C8" s="3631" t="s">
        <v>273</v>
      </c>
      <c r="D8" s="3632"/>
      <c r="E8" s="3632"/>
      <c r="F8" s="3632"/>
      <c r="G8" s="3632"/>
      <c r="H8" s="3632"/>
      <c r="I8" s="3633"/>
      <c r="J8" s="3631" t="s">
        <v>230</v>
      </c>
      <c r="K8" s="3632"/>
      <c r="L8" s="3632"/>
      <c r="M8" s="3632"/>
      <c r="N8" s="3632"/>
      <c r="O8" s="3632"/>
      <c r="P8" s="3633"/>
      <c r="Q8" s="3631" t="s">
        <v>241</v>
      </c>
      <c r="R8" s="3632"/>
      <c r="S8" s="3632"/>
      <c r="T8" s="3632"/>
      <c r="U8" s="3632"/>
      <c r="V8" s="3632"/>
      <c r="W8" s="3633"/>
    </row>
    <row r="9" spans="1:23" s="170" customFormat="1" ht="12.75" thickBot="1">
      <c r="A9" s="3624"/>
      <c r="B9" s="3627"/>
      <c r="C9" s="1142" t="str">
        <f>'Приложение '!$G12</f>
        <v>2015 г.</v>
      </c>
      <c r="D9" s="1143" t="str">
        <f>'Приложение '!$G13</f>
        <v>2016 г.</v>
      </c>
      <c r="E9" s="1143" t="str">
        <f>'Приложение '!$G14</f>
        <v>2017 г.</v>
      </c>
      <c r="F9" s="1143" t="str">
        <f>'Приложение '!$G15</f>
        <v>2018 г.</v>
      </c>
      <c r="G9" s="1143" t="str">
        <f>'Приложение '!$G16</f>
        <v>2019 г.</v>
      </c>
      <c r="H9" s="1143" t="str">
        <f>'Приложение '!$G17</f>
        <v>2020 г.</v>
      </c>
      <c r="I9" s="1144" t="str">
        <f>'Приложение '!$G18</f>
        <v>2021 г.</v>
      </c>
      <c r="J9" s="1142" t="str">
        <f>C9</f>
        <v>2015 г.</v>
      </c>
      <c r="K9" s="1143" t="str">
        <f t="shared" ref="K9:W9" si="0">D9</f>
        <v>2016 г.</v>
      </c>
      <c r="L9" s="1143" t="str">
        <f t="shared" si="0"/>
        <v>2017 г.</v>
      </c>
      <c r="M9" s="1143" t="str">
        <f t="shared" si="0"/>
        <v>2018 г.</v>
      </c>
      <c r="N9" s="1143" t="str">
        <f t="shared" si="0"/>
        <v>2019 г.</v>
      </c>
      <c r="O9" s="1143" t="str">
        <f t="shared" si="0"/>
        <v>2020 г.</v>
      </c>
      <c r="P9" s="1144" t="str">
        <f t="shared" si="0"/>
        <v>2021 г.</v>
      </c>
      <c r="Q9" s="1142" t="str">
        <f t="shared" si="0"/>
        <v>2015 г.</v>
      </c>
      <c r="R9" s="1143" t="str">
        <f t="shared" si="0"/>
        <v>2016 г.</v>
      </c>
      <c r="S9" s="1143" t="str">
        <f t="shared" si="0"/>
        <v>2017 г.</v>
      </c>
      <c r="T9" s="1143" t="str">
        <f t="shared" si="0"/>
        <v>2018 г.</v>
      </c>
      <c r="U9" s="1143" t="str">
        <f t="shared" si="0"/>
        <v>2019 г.</v>
      </c>
      <c r="V9" s="1143" t="str">
        <f t="shared" si="0"/>
        <v>2020 г.</v>
      </c>
      <c r="W9" s="1144" t="str">
        <f t="shared" si="0"/>
        <v>2021 г.</v>
      </c>
    </row>
    <row r="10" spans="1:23" s="1520" customFormat="1" ht="32.25" customHeight="1">
      <c r="A10" s="1525" t="s">
        <v>193</v>
      </c>
      <c r="B10" s="1526" t="s">
        <v>740</v>
      </c>
      <c r="C10" s="1527">
        <f>C11-C12</f>
        <v>12313</v>
      </c>
      <c r="D10" s="1528">
        <f t="shared" ref="D10:W10" si="1">D11-D12</f>
        <v>12313</v>
      </c>
      <c r="E10" s="1528">
        <f t="shared" si="1"/>
        <v>15856.703703703704</v>
      </c>
      <c r="F10" s="1528">
        <f t="shared" si="1"/>
        <v>16889.408224100618</v>
      </c>
      <c r="G10" s="1528">
        <f t="shared" si="1"/>
        <v>17957.269255619241</v>
      </c>
      <c r="H10" s="1528">
        <f t="shared" si="1"/>
        <v>18993.78204988741</v>
      </c>
      <c r="I10" s="1529">
        <f t="shared" si="1"/>
        <v>19992.948531574424</v>
      </c>
      <c r="J10" s="1527">
        <f t="shared" si="1"/>
        <v>1187</v>
      </c>
      <c r="K10" s="1528">
        <f t="shared" si="1"/>
        <v>1187</v>
      </c>
      <c r="L10" s="1528">
        <f t="shared" si="1"/>
        <v>1249.3093681917212</v>
      </c>
      <c r="M10" s="1528">
        <f t="shared" si="1"/>
        <v>3113.4008786658114</v>
      </c>
      <c r="N10" s="1528">
        <f t="shared" si="1"/>
        <v>3157.7977268033464</v>
      </c>
      <c r="O10" s="1528">
        <f t="shared" si="1"/>
        <v>3246.7475732721296</v>
      </c>
      <c r="P10" s="1529">
        <f t="shared" si="1"/>
        <v>3323.9961859247378</v>
      </c>
      <c r="Q10" s="1527">
        <f t="shared" si="1"/>
        <v>601</v>
      </c>
      <c r="R10" s="1528">
        <f t="shared" si="1"/>
        <v>601</v>
      </c>
      <c r="S10" s="1528">
        <f t="shared" si="1"/>
        <v>634.98692810457533</v>
      </c>
      <c r="T10" s="1528">
        <f t="shared" si="1"/>
        <v>699.19089723357183</v>
      </c>
      <c r="U10" s="1528">
        <f t="shared" si="1"/>
        <v>1217.9330175774116</v>
      </c>
      <c r="V10" s="1528">
        <f t="shared" si="1"/>
        <v>1299.4703768404615</v>
      </c>
      <c r="W10" s="1529">
        <f t="shared" si="1"/>
        <v>1364.055282500839</v>
      </c>
    </row>
    <row r="11" spans="1:23" s="170" customFormat="1" ht="33.75" customHeight="1">
      <c r="A11" s="1145" t="s">
        <v>98</v>
      </c>
      <c r="B11" s="1146" t="s">
        <v>920</v>
      </c>
      <c r="C11" s="1350">
        <f>'11. Амортиз. план'!E9+'11. Амортиз. план'!E110</f>
        <v>12313</v>
      </c>
      <c r="D11" s="1147">
        <f>C11</f>
        <v>12313</v>
      </c>
      <c r="E11" s="1147">
        <f>'11. Амортиз. план'!F9+'11. Амортиз. план'!F110</f>
        <v>15856.703703703704</v>
      </c>
      <c r="F11" s="1147">
        <f>'11. Амортиз. план'!G9+'11. Амортиз. план'!G110</f>
        <v>16889.408224100618</v>
      </c>
      <c r="G11" s="1147">
        <f>'11. Амортиз. план'!H9+'11. Амортиз. план'!H110</f>
        <v>17957.269255619241</v>
      </c>
      <c r="H11" s="1147">
        <f>'11. Амортиз. план'!I9+'11. Амортиз. план'!I110</f>
        <v>18993.78204988741</v>
      </c>
      <c r="I11" s="1150">
        <f>'11. Амортиз. план'!J9+'11. Амортиз. план'!J110</f>
        <v>19992.948531574424</v>
      </c>
      <c r="J11" s="1350">
        <f>'11. Амортиз. план'!L9+'11. Амортиз. план'!L110</f>
        <v>1187</v>
      </c>
      <c r="K11" s="1147">
        <f>J11</f>
        <v>1187</v>
      </c>
      <c r="L11" s="1147">
        <f>'11. Амортиз. план'!M9+'11. Амортиз. план'!M110</f>
        <v>1249.3093681917212</v>
      </c>
      <c r="M11" s="1147">
        <f>'11. Амортиз. план'!N9+'11. Амортиз. план'!N110</f>
        <v>3113.4008786658114</v>
      </c>
      <c r="N11" s="1147">
        <f>'11. Амортиз. план'!O9+'11. Амортиз. план'!O110</f>
        <v>3157.7977268033464</v>
      </c>
      <c r="O11" s="1147">
        <f>'11. Амортиз. план'!P9+'11. Амортиз. план'!P110</f>
        <v>3246.7475732721296</v>
      </c>
      <c r="P11" s="1150">
        <f>'11. Амортиз. план'!Q9+'11. Амортиз. план'!Q110</f>
        <v>3323.9961859247378</v>
      </c>
      <c r="Q11" s="1350">
        <f>'11. Амортиз. план'!S9+'11. Амортиз. план'!S110</f>
        <v>601</v>
      </c>
      <c r="R11" s="1147">
        <f>Q11</f>
        <v>601</v>
      </c>
      <c r="S11" s="1148">
        <f>'11. Амортиз. план'!T9+'11. Амортиз. план'!T110</f>
        <v>634.98692810457533</v>
      </c>
      <c r="T11" s="1148">
        <f>'11. Амортиз. план'!U9+'11. Амортиз. план'!U110</f>
        <v>699.19089723357183</v>
      </c>
      <c r="U11" s="1148">
        <f>'11. Амортиз. план'!V9+'11. Амортиз. план'!V110</f>
        <v>1217.9330175774116</v>
      </c>
      <c r="V11" s="1148">
        <f>'11. Амортиз. план'!W9+'11. Амортиз. план'!W110</f>
        <v>1299.4703768404615</v>
      </c>
      <c r="W11" s="1149">
        <f>'11. Амортиз. план'!X9+'11. Амортиз. план'!X110</f>
        <v>1364.055282500839</v>
      </c>
    </row>
    <row r="12" spans="1:23" s="170" customFormat="1" ht="32.25" customHeight="1">
      <c r="A12" s="1145" t="s">
        <v>99</v>
      </c>
      <c r="B12" s="1146" t="s">
        <v>872</v>
      </c>
      <c r="C12" s="1350">
        <f>'11. Амортиз. план'!E31</f>
        <v>0</v>
      </c>
      <c r="D12" s="1147">
        <f>'11. Амортиз. план'!F31</f>
        <v>0</v>
      </c>
      <c r="E12" s="1147">
        <f>'11. Амортиз. план'!G31</f>
        <v>0</v>
      </c>
      <c r="F12" s="1147">
        <f>'11. Амортиз. план'!H31</f>
        <v>0</v>
      </c>
      <c r="G12" s="1147">
        <f>'11. Амортиз. план'!I31</f>
        <v>0</v>
      </c>
      <c r="H12" s="1147">
        <f>'11. Амортиз. план'!J31</f>
        <v>0</v>
      </c>
      <c r="I12" s="1150">
        <f>'11. Амортиз. план'!K31</f>
        <v>0</v>
      </c>
      <c r="J12" s="1350">
        <f>'11. Амортиз. план'!L31</f>
        <v>0</v>
      </c>
      <c r="K12" s="1147">
        <f>'11. Амортиз. план'!M31</f>
        <v>0</v>
      </c>
      <c r="L12" s="1147">
        <f>'11. Амортиз. план'!N31</f>
        <v>0</v>
      </c>
      <c r="M12" s="1147">
        <f>'11. Амортиз. план'!O31</f>
        <v>0</v>
      </c>
      <c r="N12" s="1147">
        <f>'11. Амортиз. план'!P31</f>
        <v>0</v>
      </c>
      <c r="O12" s="1147">
        <f>'11. Амортиз. план'!Q31</f>
        <v>0</v>
      </c>
      <c r="P12" s="1150">
        <f>'11. Амортиз. план'!R31</f>
        <v>0</v>
      </c>
      <c r="Q12" s="1350">
        <f>'11. Амортиз. план'!S31</f>
        <v>0</v>
      </c>
      <c r="R12" s="1148">
        <f>'11. Амортиз. план'!T31</f>
        <v>0</v>
      </c>
      <c r="S12" s="1148">
        <f>'11. Амортиз. план'!U31</f>
        <v>0</v>
      </c>
      <c r="T12" s="1148">
        <f>'11. Амортиз. план'!V31</f>
        <v>0</v>
      </c>
      <c r="U12" s="1148">
        <f>'11. Амортиз. план'!W31</f>
        <v>0</v>
      </c>
      <c r="V12" s="1148">
        <f>'11. Амортиз. план'!X31</f>
        <v>0</v>
      </c>
      <c r="W12" s="1149">
        <f>'11. Амортиз. план'!Y31</f>
        <v>0</v>
      </c>
    </row>
    <row r="13" spans="1:23" s="1520" customFormat="1" ht="24">
      <c r="A13" s="1521" t="s">
        <v>103</v>
      </c>
      <c r="B13" s="1516" t="s">
        <v>741</v>
      </c>
      <c r="C13" s="1522">
        <f>C14-C15</f>
        <v>6737</v>
      </c>
      <c r="D13" s="1523">
        <f t="shared" ref="D13:W13" si="2">D14-D15</f>
        <v>6737</v>
      </c>
      <c r="E13" s="1523">
        <f t="shared" si="2"/>
        <v>7608.5325186353248</v>
      </c>
      <c r="F13" s="1523">
        <f t="shared" si="2"/>
        <v>8611.631639786001</v>
      </c>
      <c r="G13" s="1523">
        <f t="shared" si="2"/>
        <v>9646.6572225948621</v>
      </c>
      <c r="H13" s="1523">
        <f t="shared" si="2"/>
        <v>10703.972534705905</v>
      </c>
      <c r="I13" s="1524">
        <f t="shared" si="2"/>
        <v>11786.431911196767</v>
      </c>
      <c r="J13" s="1522">
        <f t="shared" si="2"/>
        <v>649</v>
      </c>
      <c r="K13" s="1523">
        <f t="shared" si="2"/>
        <v>649</v>
      </c>
      <c r="L13" s="1523">
        <f t="shared" si="2"/>
        <v>716.05164134174299</v>
      </c>
      <c r="M13" s="1523">
        <f t="shared" si="2"/>
        <v>871.06515103633194</v>
      </c>
      <c r="N13" s="1523">
        <f t="shared" si="2"/>
        <v>1115.4309571403066</v>
      </c>
      <c r="O13" s="1523">
        <f t="shared" si="2"/>
        <v>1361.4496411820978</v>
      </c>
      <c r="P13" s="1524">
        <f t="shared" si="2"/>
        <v>1608.6763498687403</v>
      </c>
      <c r="Q13" s="1522">
        <f t="shared" si="2"/>
        <v>379</v>
      </c>
      <c r="R13" s="1518">
        <f t="shared" si="2"/>
        <v>379</v>
      </c>
      <c r="S13" s="1518">
        <f t="shared" si="2"/>
        <v>412.96084002293588</v>
      </c>
      <c r="T13" s="1518">
        <f t="shared" si="2"/>
        <v>447.468209177669</v>
      </c>
      <c r="U13" s="1518">
        <f t="shared" si="2"/>
        <v>502.26682026483172</v>
      </c>
      <c r="V13" s="1518">
        <f t="shared" si="2"/>
        <v>578.17282411200097</v>
      </c>
      <c r="W13" s="1519">
        <f t="shared" si="2"/>
        <v>651.79673893448967</v>
      </c>
    </row>
    <row r="14" spans="1:23" s="170" customFormat="1" ht="24">
      <c r="A14" s="1151" t="s">
        <v>105</v>
      </c>
      <c r="B14" s="1152" t="s">
        <v>921</v>
      </c>
      <c r="C14" s="1350">
        <f>'11. Амортиз. план'!E59+'11. Амортиз. план'!E150</f>
        <v>6737</v>
      </c>
      <c r="D14" s="1147">
        <f>C14</f>
        <v>6737</v>
      </c>
      <c r="E14" s="1147">
        <f>'11. Амортиз. план'!F59+'11. Амортиз. план'!F150</f>
        <v>7608.5325186353248</v>
      </c>
      <c r="F14" s="1147">
        <f>'11. Амортиз. план'!G59+'11. Амортиз. план'!G150</f>
        <v>8611.631639786001</v>
      </c>
      <c r="G14" s="1147">
        <f>'11. Амортиз. план'!H59+'11. Амортиз. план'!H150</f>
        <v>9646.6572225948621</v>
      </c>
      <c r="H14" s="1147">
        <f>'11. Амортиз. план'!I59+'11. Амортиз. план'!I150</f>
        <v>10703.972534705905</v>
      </c>
      <c r="I14" s="1150">
        <f>'11. Амортиз. план'!J59+'11. Амортиз. план'!J150</f>
        <v>11786.431911196767</v>
      </c>
      <c r="J14" s="1350">
        <f>'11. Амортиз. план'!L59+'11. Амортиз. план'!L150</f>
        <v>649</v>
      </c>
      <c r="K14" s="1147">
        <f>J14</f>
        <v>649</v>
      </c>
      <c r="L14" s="1147">
        <f>'11. Амортиз. план'!M59+'11. Амортиз. план'!M150</f>
        <v>716.05164134174299</v>
      </c>
      <c r="M14" s="1147">
        <f>'11. Амортиз. план'!N59+'11. Амортиз. план'!N150</f>
        <v>871.06515103633194</v>
      </c>
      <c r="N14" s="1147">
        <f>'11. Амортиз. план'!O59+'11. Амортиз. план'!O150</f>
        <v>1115.4309571403066</v>
      </c>
      <c r="O14" s="1147">
        <f>'11. Амортиз. план'!P59+'11. Амортиз. план'!P150</f>
        <v>1361.4496411820978</v>
      </c>
      <c r="P14" s="1150">
        <f>'11. Амортиз. план'!Q59+'11. Амортиз. план'!Q150</f>
        <v>1608.6763498687403</v>
      </c>
      <c r="Q14" s="1350">
        <f>'11. Амортиз. план'!S59+'11. Амортиз. план'!S150</f>
        <v>379</v>
      </c>
      <c r="R14" s="1148">
        <f>Q14</f>
        <v>379</v>
      </c>
      <c r="S14" s="1148">
        <f>'11. Амортиз. план'!T59+'11. Амортиз. план'!T150</f>
        <v>412.96084002293588</v>
      </c>
      <c r="T14" s="1148">
        <f>'11. Амортиз. план'!U59+'11. Амортиз. план'!U150</f>
        <v>447.468209177669</v>
      </c>
      <c r="U14" s="1148">
        <f>'11. Амортиз. план'!V59+'11. Амортиз. план'!V150</f>
        <v>502.26682026483172</v>
      </c>
      <c r="V14" s="1148">
        <f>'11. Амортиз. план'!W59+'11. Амортиз. план'!W150</f>
        <v>578.17282411200097</v>
      </c>
      <c r="W14" s="1149">
        <f>'11. Амортиз. план'!X59+'11. Амортиз. план'!X150</f>
        <v>651.79673893448967</v>
      </c>
    </row>
    <row r="15" spans="1:23" s="170" customFormat="1" ht="24">
      <c r="A15" s="1151" t="s">
        <v>107</v>
      </c>
      <c r="B15" s="1152" t="s">
        <v>873</v>
      </c>
      <c r="C15" s="1153">
        <f>'11. Амортиз. план'!E81</f>
        <v>0</v>
      </c>
      <c r="D15" s="1148">
        <f>'11. Амортиз. план'!F81</f>
        <v>0</v>
      </c>
      <c r="E15" s="1148">
        <f>'11. Амортиз. план'!G81</f>
        <v>0</v>
      </c>
      <c r="F15" s="1148">
        <f>'11. Амортиз. план'!H81</f>
        <v>0</v>
      </c>
      <c r="G15" s="1148">
        <f>'11. Амортиз. план'!I81</f>
        <v>0</v>
      </c>
      <c r="H15" s="1148">
        <f>'11. Амортиз. план'!J81</f>
        <v>0</v>
      </c>
      <c r="I15" s="1149">
        <f>'11. Амортиз. план'!K81</f>
        <v>0</v>
      </c>
      <c r="J15" s="1153">
        <f>'11. Амортиз. план'!L81</f>
        <v>0</v>
      </c>
      <c r="K15" s="1148">
        <f>'11. Амортиз. план'!M81</f>
        <v>0</v>
      </c>
      <c r="L15" s="1148">
        <f>'11. Амортиз. план'!N81</f>
        <v>0</v>
      </c>
      <c r="M15" s="1148">
        <f>'11. Амортиз. план'!O81</f>
        <v>0</v>
      </c>
      <c r="N15" s="1148">
        <f>'11. Амортиз. план'!P81</f>
        <v>0</v>
      </c>
      <c r="O15" s="1148">
        <f>'11. Амортиз. план'!Q81</f>
        <v>0</v>
      </c>
      <c r="P15" s="1149">
        <f>'11. Амортиз. план'!R81</f>
        <v>0</v>
      </c>
      <c r="Q15" s="1153">
        <f>'11. Амортиз. план'!S81</f>
        <v>0</v>
      </c>
      <c r="R15" s="1148">
        <f>'11. Амортиз. план'!T81</f>
        <v>0</v>
      </c>
      <c r="S15" s="1148">
        <f>'11. Амортиз. план'!U81</f>
        <v>0</v>
      </c>
      <c r="T15" s="1148">
        <f>'11. Амортиз. план'!V81</f>
        <v>0</v>
      </c>
      <c r="U15" s="1148">
        <f>'11. Амортиз. план'!W81</f>
        <v>0</v>
      </c>
      <c r="V15" s="1148">
        <f>'11. Амортиз. план'!X81</f>
        <v>0</v>
      </c>
      <c r="W15" s="1149">
        <f>'11. Амортиз. план'!Y81</f>
        <v>0</v>
      </c>
    </row>
    <row r="16" spans="1:23" s="1520" customFormat="1" ht="36">
      <c r="A16" s="1515" t="s">
        <v>110</v>
      </c>
      <c r="B16" s="1516" t="s">
        <v>742</v>
      </c>
      <c r="C16" s="1517">
        <f>(C17+C18)/2</f>
        <v>0</v>
      </c>
      <c r="D16" s="1518">
        <f t="shared" ref="D16:W16" si="3">(D17+D18)/2</f>
        <v>0</v>
      </c>
      <c r="E16" s="1518">
        <f t="shared" si="3"/>
        <v>0</v>
      </c>
      <c r="F16" s="1518">
        <f t="shared" si="3"/>
        <v>0</v>
      </c>
      <c r="G16" s="1518">
        <f t="shared" si="3"/>
        <v>0</v>
      </c>
      <c r="H16" s="1518">
        <f t="shared" si="3"/>
        <v>0</v>
      </c>
      <c r="I16" s="1519">
        <f t="shared" si="3"/>
        <v>0</v>
      </c>
      <c r="J16" s="1517">
        <f t="shared" si="3"/>
        <v>0</v>
      </c>
      <c r="K16" s="1518">
        <f t="shared" si="3"/>
        <v>0</v>
      </c>
      <c r="L16" s="1518">
        <f t="shared" si="3"/>
        <v>0</v>
      </c>
      <c r="M16" s="1518">
        <f t="shared" si="3"/>
        <v>0</v>
      </c>
      <c r="N16" s="1518">
        <f t="shared" si="3"/>
        <v>0</v>
      </c>
      <c r="O16" s="1518">
        <f t="shared" si="3"/>
        <v>0</v>
      </c>
      <c r="P16" s="1519">
        <f t="shared" si="3"/>
        <v>0</v>
      </c>
      <c r="Q16" s="1517">
        <f t="shared" si="3"/>
        <v>0</v>
      </c>
      <c r="R16" s="1518">
        <f t="shared" si="3"/>
        <v>0</v>
      </c>
      <c r="S16" s="1518">
        <f t="shared" si="3"/>
        <v>0</v>
      </c>
      <c r="T16" s="1518">
        <f t="shared" si="3"/>
        <v>0</v>
      </c>
      <c r="U16" s="1518">
        <f t="shared" si="3"/>
        <v>0</v>
      </c>
      <c r="V16" s="1518">
        <f t="shared" si="3"/>
        <v>0</v>
      </c>
      <c r="W16" s="1519">
        <f t="shared" si="3"/>
        <v>0</v>
      </c>
    </row>
    <row r="17" spans="1:23" s="170" customFormat="1" ht="27" customHeight="1">
      <c r="A17" s="1151" t="s">
        <v>227</v>
      </c>
      <c r="B17" s="1152" t="s">
        <v>255</v>
      </c>
      <c r="C17" s="1351">
        <f>IF('10. Финансиране на ИП'!C48=0,0,'10. Финансиране на ИП'!C48*'10. Финансиране на ИП'!C55+'10. Финансиране на ИП'!J48*'10. Финансиране на ИП'!J55)</f>
        <v>0</v>
      </c>
      <c r="D17" s="1349">
        <f>IF('10. Финансиране на ИП'!D48=0,0,'10. Финансиране на ИП'!D48*'10. Финансиране на ИП'!D55+'10. Финансиране на ИП'!K48*'10. Финансиране на ИП'!K55)</f>
        <v>0</v>
      </c>
      <c r="E17" s="1349">
        <f>IF('10. Финансиране на ИП'!E48=0,0,'10. Финансиране на ИП'!E48*'10. Финансиране на ИП'!E55+'10. Финансиране на ИП'!L48*'10. Финансиране на ИП'!L55)</f>
        <v>0</v>
      </c>
      <c r="F17" s="1349">
        <f>IF('10. Финансиране на ИП'!F48=0,0,'10. Финансиране на ИП'!F48*'10. Финансиране на ИП'!F55+'10. Финансиране на ИП'!M48*'10. Финансиране на ИП'!M55)</f>
        <v>0</v>
      </c>
      <c r="G17" s="1349">
        <f>IF('10. Финансиране на ИП'!G48=0,0,'10. Финансиране на ИП'!G48*'10. Финансиране на ИП'!G55+'10. Финансиране на ИП'!N48*'10. Финансиране на ИП'!N55)</f>
        <v>0</v>
      </c>
      <c r="H17" s="1349">
        <f>IF('10. Финансиране на ИП'!H48=0,0,'10. Финансиране на ИП'!H48*'10. Финансиране на ИП'!H55+'10. Финансиране на ИП'!O48*'10. Финансиране на ИП'!O55)</f>
        <v>0</v>
      </c>
      <c r="I17" s="1352">
        <f>IF('10. Финансиране на ИП'!I48=0,0,'10. Финансиране на ИП'!I48*'10. Финансиране на ИП'!I55+'10. Финансиране на ИП'!P48*'10. Финансиране на ИП'!P55)</f>
        <v>0</v>
      </c>
      <c r="J17" s="1351">
        <f>IF('10. Финансиране на ИП'!C48=0,0,'10. Финансиране на ИП'!C48*'10. Финансиране на ИП'!C56+'10. Финансиране на ИП'!J48*'10. Финансиране на ИП'!J56)</f>
        <v>0</v>
      </c>
      <c r="K17" s="1349">
        <f>IF('10. Финансиране на ИП'!D48=0,0,'10. Финансиране на ИП'!D48*'10. Финансиране на ИП'!D56+'10. Финансиране на ИП'!K48*'10. Финансиране на ИП'!K56)</f>
        <v>0</v>
      </c>
      <c r="L17" s="1349">
        <f>IF('10. Финансиране на ИП'!E48=0,0,'10. Финансиране на ИП'!E48*'10. Финансиране на ИП'!E56+'10. Финансиране на ИП'!L48*'10. Финансиране на ИП'!L56)</f>
        <v>0</v>
      </c>
      <c r="M17" s="1349">
        <f>IF('10. Финансиране на ИП'!F48=0,0,'10. Финансиране на ИП'!F48*'10. Финансиране на ИП'!F56+'10. Финансиране на ИП'!M48*'10. Финансиране на ИП'!M56)</f>
        <v>0</v>
      </c>
      <c r="N17" s="1349">
        <f>IF('10. Финансиране на ИП'!G48=0,0,'10. Финансиране на ИП'!G48*'10. Финансиране на ИП'!G56+'10. Финансиране на ИП'!N48*'10. Финансиране на ИП'!N56)</f>
        <v>0</v>
      </c>
      <c r="O17" s="1349">
        <f>IF('10. Финансиране на ИП'!H48=0,0,'10. Финансиране на ИП'!H48*'10. Финансиране на ИП'!H56+'10. Финансиране на ИП'!O48*'10. Финансиране на ИП'!O56)</f>
        <v>0</v>
      </c>
      <c r="P17" s="1352">
        <f>IF('10. Финансиране на ИП'!I48=0,0,'10. Финансиране на ИП'!I48*'10. Финансиране на ИП'!I56+'10. Финансиране на ИП'!P48*'10. Финансиране на ИП'!P56)</f>
        <v>0</v>
      </c>
      <c r="Q17" s="1351">
        <f>IF('10. Финансиране на ИП'!C48=0,0,'10. Финансиране на ИП'!C48*'10. Финансиране на ИП'!C57+'10. Финансиране на ИП'!J48*'10. Финансиране на ИП'!J57)</f>
        <v>0</v>
      </c>
      <c r="R17" s="1349">
        <f>IF('10. Финансиране на ИП'!D48=0,0,'10. Финансиране на ИП'!D48*'10. Финансиране на ИП'!D57+'10. Финансиране на ИП'!K48*'10. Финансиране на ИП'!K57)</f>
        <v>0</v>
      </c>
      <c r="S17" s="1349">
        <f>IF('10. Финансиране на ИП'!E48=0,0,'10. Финансиране на ИП'!E48*'10. Финансиране на ИП'!E57+'10. Финансиране на ИП'!L48*'10. Финансиране на ИП'!L57)</f>
        <v>0</v>
      </c>
      <c r="T17" s="1349">
        <f>IF('10. Финансиране на ИП'!F48=0,0,'10. Финансиране на ИП'!F48*'10. Финансиране на ИП'!F57+'10. Финансиране на ИП'!M48*'10. Финансиране на ИП'!M57)</f>
        <v>0</v>
      </c>
      <c r="U17" s="1349">
        <f>IF('10. Финансиране на ИП'!G48=0,0,'10. Финансиране на ИП'!G48*'10. Финансиране на ИП'!G57+'10. Финансиране на ИП'!N48*'10. Финансиране на ИП'!N57)</f>
        <v>0</v>
      </c>
      <c r="V17" s="1349">
        <f>IF('10. Финансиране на ИП'!H48=0,0,'10. Финансиране на ИП'!H48*'10. Финансиране на ИП'!H57+'10. Финансиране на ИП'!O48*'10. Финансиране на ИП'!O57)</f>
        <v>0</v>
      </c>
      <c r="W17" s="1352">
        <f>IF('10. Финансиране на ИП'!I48=0,0,'10. Финансиране на ИП'!I48*'10. Финансиране на ИП'!I57+'10. Финансиране на ИП'!P48*'10. Финансиране на ИП'!P57)</f>
        <v>0</v>
      </c>
    </row>
    <row r="18" spans="1:23" s="170" customFormat="1" ht="27" customHeight="1">
      <c r="A18" s="1151" t="s">
        <v>228</v>
      </c>
      <c r="B18" s="1152" t="s">
        <v>743</v>
      </c>
      <c r="C18" s="1351">
        <f>IF('10. Финансиране на ИП'!C54=0,0,'10. Финансиране на ИП'!C54*'10. Финансиране на ИП'!C55+'10. Финансиране на ИП'!J54*'10. Финансиране на ИП'!J55)</f>
        <v>0</v>
      </c>
      <c r="D18" s="1349">
        <f>IF('10. Финансиране на ИП'!D54=0,0,'10. Финансиране на ИП'!D54*'10. Финансиране на ИП'!D55+'10. Финансиране на ИП'!K54*'10. Финансиране на ИП'!K55)</f>
        <v>0</v>
      </c>
      <c r="E18" s="1349">
        <f>IF('10. Финансиране на ИП'!E54=0,0,'10. Финансиране на ИП'!E54*'10. Финансиране на ИП'!E55+'10. Финансиране на ИП'!L54*'10. Финансиране на ИП'!L55)</f>
        <v>0</v>
      </c>
      <c r="F18" s="1349">
        <f>IF('10. Финансиране на ИП'!F54=0,0,'10. Финансиране на ИП'!F54*'10. Финансиране на ИП'!F55+'10. Финансиране на ИП'!M54*'10. Финансиране на ИП'!M55)</f>
        <v>0</v>
      </c>
      <c r="G18" s="1349">
        <f>IF('10. Финансиране на ИП'!G54=0,0,'10. Финансиране на ИП'!G54*'10. Финансиране на ИП'!G55+'10. Финансиране на ИП'!N54*'10. Финансиране на ИП'!N55)</f>
        <v>0</v>
      </c>
      <c r="H18" s="1349">
        <f>IF('10. Финансиране на ИП'!H54=0,0,'10. Финансиране на ИП'!H54*'10. Финансиране на ИП'!H55+'10. Финансиране на ИП'!O54*'10. Финансиране на ИП'!O55)</f>
        <v>0</v>
      </c>
      <c r="I18" s="1352">
        <f>IF('10. Финансиране на ИП'!I54=0,0,'10. Финансиране на ИП'!I54*'10. Финансиране на ИП'!I55+'10. Финансиране на ИП'!P54*'10. Финансиране на ИП'!P55)</f>
        <v>0</v>
      </c>
      <c r="J18" s="1351">
        <f>IF('10. Финансиране на ИП'!C54=0,0,'10. Финансиране на ИП'!C54*'10. Финансиране на ИП'!C56+'10. Финансиране на ИП'!J54*'10. Финансиране на ИП'!J56)</f>
        <v>0</v>
      </c>
      <c r="K18" s="1349">
        <f>IF('10. Финансиране на ИП'!D54=0,0,'10. Финансиране на ИП'!D54*'10. Финансиране на ИП'!D56+'10. Финансиране на ИП'!K54*'10. Финансиране на ИП'!K56)</f>
        <v>0</v>
      </c>
      <c r="L18" s="1349">
        <f>IF('10. Финансиране на ИП'!E54=0,0,'10. Финансиране на ИП'!E54*'10. Финансиране на ИП'!E56+'10. Финансиране на ИП'!L54*'10. Финансиране на ИП'!L56)</f>
        <v>0</v>
      </c>
      <c r="M18" s="1349">
        <f>IF('10. Финансиране на ИП'!F54=0,0,'10. Финансиране на ИП'!F54*'10. Финансиране на ИП'!F56+'10. Финансиране на ИП'!M54*'10. Финансиране на ИП'!M56)</f>
        <v>0</v>
      </c>
      <c r="N18" s="1349">
        <f>IF('10. Финансиране на ИП'!G54=0,0,'10. Финансиране на ИП'!G54*'10. Финансиране на ИП'!G56+'10. Финансиране на ИП'!N54*'10. Финансиране на ИП'!N56)</f>
        <v>0</v>
      </c>
      <c r="O18" s="1349">
        <f>IF('10. Финансиране на ИП'!H54=0,0,'10. Финансиране на ИП'!H54*'10. Финансиране на ИП'!H56+'10. Финансиране на ИП'!O54*'10. Финансиране на ИП'!O56)</f>
        <v>0</v>
      </c>
      <c r="P18" s="1352">
        <f>IF('10. Финансиране на ИП'!I54=0,0,'10. Финансиране на ИП'!I54*'10. Финансиране на ИП'!I56+'10. Финансиране на ИП'!P54*'10. Финансиране на ИП'!P56)</f>
        <v>0</v>
      </c>
      <c r="Q18" s="1351">
        <f>IF('10. Финансиране на ИП'!C54=0,0,'10. Финансиране на ИП'!C54*'10. Финансиране на ИП'!C57+'10. Финансиране на ИП'!J54*'10. Финансиране на ИП'!J57)</f>
        <v>0</v>
      </c>
      <c r="R18" s="1349">
        <f>IF('10. Финансиране на ИП'!D54=0,0,'10. Финансиране на ИП'!D54*'10. Финансиране на ИП'!D57+'10. Финансиране на ИП'!K54*'10. Финансиране на ИП'!K57)</f>
        <v>0</v>
      </c>
      <c r="S18" s="1349">
        <f>IF('10. Финансиране на ИП'!E54=0,0,'10. Финансиране на ИП'!E54*'10. Финансиране на ИП'!E57+'10. Финансиране на ИП'!L54*'10. Финансиране на ИП'!L57)</f>
        <v>0</v>
      </c>
      <c r="T18" s="1349">
        <f>IF('10. Финансиране на ИП'!F54=0,0,'10. Финансиране на ИП'!F54*'10. Финансиране на ИП'!F57+'10. Финансиране на ИП'!M54*'10. Финансиране на ИП'!M57)</f>
        <v>0</v>
      </c>
      <c r="U18" s="1349">
        <f>IF('10. Финансиране на ИП'!G54=0,0,'10. Финансиране на ИП'!G54*'10. Финансиране на ИП'!G57+'10. Финансиране на ИП'!N54*'10. Финансиране на ИП'!N57)</f>
        <v>0</v>
      </c>
      <c r="V18" s="1349">
        <f>IF('10. Финансиране на ИП'!H54=0,0,'10. Финансиране на ИП'!H54*'10. Финансиране на ИП'!H57+'10. Финансиране на ИП'!O54*'10. Финансиране на ИП'!O57)</f>
        <v>0</v>
      </c>
      <c r="W18" s="1352">
        <f>IF('10. Финансиране на ИП'!I54=0,0,'10. Финансиране на ИП'!I54*'10. Финансиране на ИП'!I57+'10. Финансиране на ИП'!P54*'10. Финансиране на ИП'!P57)</f>
        <v>0</v>
      </c>
    </row>
    <row r="19" spans="1:23" s="1520" customFormat="1" ht="27" customHeight="1">
      <c r="A19" s="1530" t="s">
        <v>111</v>
      </c>
      <c r="B19" s="1516" t="s">
        <v>409</v>
      </c>
      <c r="C19" s="1531"/>
      <c r="D19" s="1518">
        <f>'9.Инвестиционна програма'!F87</f>
        <v>3543.7037037037035</v>
      </c>
      <c r="E19" s="1518">
        <f>'9.Инвестиционна програма'!G87</f>
        <v>1032.7045203969128</v>
      </c>
      <c r="F19" s="1518">
        <f>'9.Инвестиционна програма'!H87</f>
        <v>1067.8610315186247</v>
      </c>
      <c r="G19" s="1518">
        <f>'9.Инвестиционна програма'!I87</f>
        <v>1036.5127942681679</v>
      </c>
      <c r="H19" s="1518">
        <f>'9.Инвестиционна програма'!J87</f>
        <v>999.16648168701443</v>
      </c>
      <c r="I19" s="1519">
        <f>'9.Инвестиционна програма'!K87</f>
        <v>963.33962264150944</v>
      </c>
      <c r="J19" s="1531"/>
      <c r="K19" s="1518">
        <f>'9.Инвестиционна програма'!F88</f>
        <v>62.309368191721134</v>
      </c>
      <c r="L19" s="1518">
        <f>'9.Инвестиционна програма'!G88</f>
        <v>1864.0915104740905</v>
      </c>
      <c r="M19" s="1518">
        <f>'9.Инвестиционна програма'!H88</f>
        <v>44.396848137535819</v>
      </c>
      <c r="N19" s="1518">
        <f>'9.Инвестиционна програма'!I88</f>
        <v>88.949846468781985</v>
      </c>
      <c r="O19" s="1518">
        <f>'9.Инвестиционна програма'!J88</f>
        <v>77.248612652608216</v>
      </c>
      <c r="P19" s="1519">
        <f>'9.Инвестиционна програма'!K88</f>
        <v>55.676886792452834</v>
      </c>
      <c r="Q19" s="1531"/>
      <c r="R19" s="1532">
        <f>'9.Инвестиционна програма'!F89</f>
        <v>33.986928104575163</v>
      </c>
      <c r="S19" s="1532">
        <f>'9.Инвестиционна програма'!G89</f>
        <v>64.20396912899669</v>
      </c>
      <c r="T19" s="1532">
        <f>'9.Инвестиционна програма'!H89</f>
        <v>518.74212034383959</v>
      </c>
      <c r="U19" s="1532">
        <f>'9.Инвестиционна програма'!I89</f>
        <v>81.537359263050149</v>
      </c>
      <c r="V19" s="1532">
        <f>'9.Инвестиционна програма'!J89</f>
        <v>64.584905660377359</v>
      </c>
      <c r="W19" s="1533">
        <f>'9.Инвестиционна програма'!K89</f>
        <v>78.98349056603773</v>
      </c>
    </row>
    <row r="20" spans="1:23" s="1520" customFormat="1" ht="27" customHeight="1" thickBot="1">
      <c r="A20" s="1534">
        <v>5</v>
      </c>
      <c r="B20" s="1535" t="s">
        <v>373</v>
      </c>
      <c r="C20" s="1536">
        <f>'18. OK'!D19</f>
        <v>1556.145205479452</v>
      </c>
      <c r="D20" s="1537">
        <f>'18. OK'!E19</f>
        <v>1673.4986301369861</v>
      </c>
      <c r="E20" s="1537">
        <f>'18. OK'!F19</f>
        <v>2471.3534246575341</v>
      </c>
      <c r="F20" s="1537">
        <f>'18. OK'!G19</f>
        <v>2479.9315068493152</v>
      </c>
      <c r="G20" s="1537">
        <f>'18. OK'!H19</f>
        <v>2424.4</v>
      </c>
      <c r="H20" s="1537">
        <f>'18. OK'!I19</f>
        <v>2337.7479452054795</v>
      </c>
      <c r="I20" s="1538">
        <f>'18. OK'!J19</f>
        <v>2429.2876712328766</v>
      </c>
      <c r="J20" s="1536">
        <f>'18. OK'!D20</f>
        <v>96.663013698630124</v>
      </c>
      <c r="K20" s="1537">
        <f>'18. OK'!E20</f>
        <v>101.1890410958904</v>
      </c>
      <c r="L20" s="1537">
        <f>'18. OK'!F20</f>
        <v>127.32602739726028</v>
      </c>
      <c r="M20" s="1537">
        <f>'18. OK'!G20</f>
        <v>125.65068493150686</v>
      </c>
      <c r="N20" s="1537">
        <f>'18. OK'!H20</f>
        <v>130.6</v>
      </c>
      <c r="O20" s="1537">
        <f>'18. OK'!I20</f>
        <v>127.89726027397261</v>
      </c>
      <c r="P20" s="1538">
        <f>'18. OK'!J20</f>
        <v>132.61643835616439</v>
      </c>
      <c r="Q20" s="1536">
        <f>'18. OK'!D21</f>
        <v>128.50684931506848</v>
      </c>
      <c r="R20" s="1537">
        <f>'18. OK'!E21</f>
        <v>173.12054794520546</v>
      </c>
      <c r="S20" s="1537">
        <f>'18. OK'!F21</f>
        <v>252.77808219178084</v>
      </c>
      <c r="T20" s="1537">
        <f>'18. OK'!G21</f>
        <v>275.95890410958907</v>
      </c>
      <c r="U20" s="1537">
        <f>'18. OK'!H21</f>
        <v>280.39999999999998</v>
      </c>
      <c r="V20" s="1537">
        <f>'18. OK'!I21</f>
        <v>293.72602739726028</v>
      </c>
      <c r="W20" s="1538">
        <f>'18. OK'!J21</f>
        <v>289.58904109589042</v>
      </c>
    </row>
    <row r="21" spans="1:23" s="170" customFormat="1" ht="27" customHeight="1" thickBot="1">
      <c r="A21" s="1353">
        <v>6</v>
      </c>
      <c r="B21" s="1354" t="s">
        <v>372</v>
      </c>
      <c r="C21" s="1355">
        <f>C10-C13+C16+C19+C20</f>
        <v>7132.1452054794518</v>
      </c>
      <c r="D21" s="1356">
        <f>D10-D13+D16+D19+D20</f>
        <v>10793.202333840691</v>
      </c>
      <c r="E21" s="1356">
        <f t="shared" ref="E21:W21" si="4">E10-E13+E16+E19+E20</f>
        <v>11752.229130122827</v>
      </c>
      <c r="F21" s="1356">
        <f t="shared" si="4"/>
        <v>11825.569122682558</v>
      </c>
      <c r="G21" s="1356">
        <f t="shared" si="4"/>
        <v>11771.524827292547</v>
      </c>
      <c r="H21" s="1356">
        <f t="shared" si="4"/>
        <v>11626.723942073999</v>
      </c>
      <c r="I21" s="1357">
        <f t="shared" si="4"/>
        <v>11599.143914252043</v>
      </c>
      <c r="J21" s="1355">
        <f t="shared" si="4"/>
        <v>634.66301369863015</v>
      </c>
      <c r="K21" s="1356">
        <f t="shared" si="4"/>
        <v>701.49840928761148</v>
      </c>
      <c r="L21" s="1356">
        <f t="shared" si="4"/>
        <v>2524.6752647213289</v>
      </c>
      <c r="M21" s="1356">
        <f t="shared" si="4"/>
        <v>2412.3832606985225</v>
      </c>
      <c r="N21" s="1356">
        <f t="shared" si="4"/>
        <v>2261.9166161318217</v>
      </c>
      <c r="O21" s="1356">
        <f t="shared" si="4"/>
        <v>2090.4438050166127</v>
      </c>
      <c r="P21" s="1357">
        <f t="shared" si="4"/>
        <v>1903.6131612046147</v>
      </c>
      <c r="Q21" s="1355">
        <f t="shared" si="4"/>
        <v>350.50684931506851</v>
      </c>
      <c r="R21" s="1356">
        <f t="shared" si="4"/>
        <v>429.10747604978064</v>
      </c>
      <c r="S21" s="1356">
        <f t="shared" si="4"/>
        <v>539.00813940241699</v>
      </c>
      <c r="T21" s="1356">
        <f t="shared" si="4"/>
        <v>1046.4237125093314</v>
      </c>
      <c r="U21" s="1356">
        <f t="shared" si="4"/>
        <v>1077.6035565756301</v>
      </c>
      <c r="V21" s="1356">
        <f t="shared" si="4"/>
        <v>1079.6084857860983</v>
      </c>
      <c r="W21" s="1357">
        <f t="shared" si="4"/>
        <v>1080.8310752282775</v>
      </c>
    </row>
    <row r="22" spans="1:23">
      <c r="A22" s="395"/>
      <c r="B22" s="395"/>
      <c r="C22" s="395"/>
      <c r="D22" s="395"/>
      <c r="E22" s="395"/>
      <c r="F22" s="395"/>
      <c r="G22" s="395"/>
      <c r="H22" s="395"/>
      <c r="I22" s="395"/>
      <c r="J22" s="395"/>
    </row>
    <row r="24" spans="1:23" customFormat="1" ht="15">
      <c r="A24" s="72"/>
      <c r="B24" s="76"/>
      <c r="C24" s="74"/>
      <c r="D24" s="57"/>
      <c r="E24" s="75"/>
      <c r="P24" s="292" t="str">
        <f>'14. ОПР'!D49</f>
        <v>Главен счетоводител:</v>
      </c>
      <c r="Q24" s="394"/>
      <c r="R24" s="289"/>
      <c r="S24" s="219" t="s">
        <v>262</v>
      </c>
      <c r="T24" s="199"/>
      <c r="U24" s="199"/>
    </row>
    <row r="25" spans="1:23" customFormat="1" ht="14.25">
      <c r="A25" s="72"/>
      <c r="B25" s="396" t="str">
        <f>'16. Необходими приходи'!B29</f>
        <v>Дата: 27.06.2016г.</v>
      </c>
      <c r="C25" s="74"/>
      <c r="D25" s="57"/>
      <c r="E25" s="394"/>
      <c r="F25" s="394"/>
      <c r="G25" s="394"/>
      <c r="H25" s="394"/>
      <c r="I25" s="394"/>
      <c r="J25" s="394"/>
      <c r="Q25" s="288"/>
      <c r="R25" s="220"/>
      <c r="S25" s="290"/>
      <c r="T25" s="291" t="s">
        <v>5</v>
      </c>
      <c r="U25" s="199"/>
    </row>
    <row r="26" spans="1:23" customFormat="1" ht="12.75">
      <c r="E26" s="394"/>
      <c r="F26" s="394"/>
      <c r="G26" s="394"/>
      <c r="H26" s="394"/>
      <c r="I26" s="394"/>
      <c r="J26" s="394"/>
      <c r="Q26" s="288"/>
      <c r="R26" s="220"/>
      <c r="S26" s="290"/>
      <c r="T26" s="291"/>
      <c r="U26" s="199"/>
    </row>
    <row r="27" spans="1:23" customFormat="1" ht="12.75">
      <c r="E27" s="394"/>
      <c r="F27" s="394"/>
      <c r="G27" s="394"/>
      <c r="H27" s="394"/>
      <c r="I27" s="394"/>
      <c r="J27" s="394"/>
      <c r="Q27" s="288"/>
      <c r="R27" s="220"/>
      <c r="S27" s="290"/>
      <c r="T27" s="291"/>
      <c r="U27" s="199"/>
    </row>
    <row r="28" spans="1:23" customFormat="1" ht="12.75">
      <c r="E28" s="394"/>
      <c r="F28" s="394"/>
      <c r="G28" s="394"/>
      <c r="H28" s="394"/>
      <c r="I28" s="394"/>
      <c r="J28" s="394"/>
      <c r="Q28" s="288"/>
      <c r="R28" s="220"/>
      <c r="S28" s="290"/>
      <c r="T28" s="291"/>
      <c r="U28" s="199"/>
    </row>
    <row r="29" spans="1:23" customFormat="1" ht="12.75">
      <c r="E29" s="394"/>
      <c r="F29" s="394"/>
      <c r="G29" s="394"/>
      <c r="H29" s="394"/>
      <c r="I29" s="394"/>
      <c r="J29" s="394"/>
      <c r="Q29" s="292" t="str">
        <f>'14. ОПР'!E54</f>
        <v>Управител:</v>
      </c>
      <c r="S29" s="219" t="s">
        <v>262</v>
      </c>
      <c r="T29" s="217"/>
      <c r="U29" s="199"/>
    </row>
    <row r="30" spans="1:23" customFormat="1" ht="12.75">
      <c r="E30" s="394"/>
      <c r="F30" s="394"/>
      <c r="G30" s="394"/>
      <c r="H30" s="394"/>
      <c r="I30" s="394"/>
      <c r="J30" s="394"/>
      <c r="Q30" s="288"/>
      <c r="R30" s="293"/>
      <c r="S30" s="290"/>
      <c r="T30" s="291" t="s">
        <v>6</v>
      </c>
      <c r="U30" s="199"/>
    </row>
    <row r="31" spans="1:23" customFormat="1" ht="12.75"/>
  </sheetData>
  <mergeCells count="10">
    <mergeCell ref="A2:W2"/>
    <mergeCell ref="A3:W3"/>
    <mergeCell ref="A4:W4"/>
    <mergeCell ref="A5:W5"/>
    <mergeCell ref="A7:A9"/>
    <mergeCell ref="B7:B9"/>
    <mergeCell ref="C7:W7"/>
    <mergeCell ref="C8:I8"/>
    <mergeCell ref="J8:P8"/>
    <mergeCell ref="Q8:W8"/>
  </mergeCells>
  <printOptions horizontalCentered="1"/>
  <pageMargins left="0.19685039370078741" right="0.19685039370078741" top="0.78740157480314965" bottom="0.39370078740157483" header="0.51181102362204722" footer="0.51181102362204722"/>
  <pageSetup paperSize="9" scale="60" orientation="landscape" r:id="rId1"/>
  <headerFooter alignWithMargins="0"/>
  <ignoredErrors>
    <ignoredError sqref="D10:W10 C16:W16 C15:W15 E21:I21 E20:I20 D12:W12 J11:K11 C14 D13:W13 C11 C12 C10 C13 J14:K14 D11:I11 D14:I14 Q11:S11 Q14:R14 L11:P11 L14:P14 T11:W11 S14:W14 D19:I19 L21:W21 L20:P20 S20:W20 K19:P19" unlockedFormula="1"/>
    <ignoredError sqref="A10:A21" numberStoredAsText="1"/>
  </ignoredError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rgb="FF0070C0"/>
  </sheetPr>
  <dimension ref="A1:P37"/>
  <sheetViews>
    <sheetView showGridLines="0" view="pageBreakPreview" zoomScale="85" zoomScaleNormal="100" zoomScaleSheetLayoutView="85" workbookViewId="0">
      <selection activeCell="C15" sqref="C15"/>
    </sheetView>
  </sheetViews>
  <sheetFormatPr defaultRowHeight="12.75"/>
  <cols>
    <col min="1" max="1" width="4.5703125" customWidth="1"/>
    <col min="2" max="2" width="79.140625" bestFit="1" customWidth="1"/>
    <col min="3" max="10" width="8.7109375" customWidth="1"/>
    <col min="256" max="256" width="3.7109375" customWidth="1"/>
    <col min="257" max="257" width="75.7109375" customWidth="1"/>
    <col min="259" max="260" width="9.85546875" customWidth="1"/>
    <col min="512" max="512" width="3.7109375" customWidth="1"/>
    <col min="513" max="513" width="75.7109375" customWidth="1"/>
    <col min="515" max="516" width="9.85546875" customWidth="1"/>
    <col min="768" max="768" width="3.7109375" customWidth="1"/>
    <col min="769" max="769" width="75.7109375" customWidth="1"/>
    <col min="771" max="772" width="9.85546875" customWidth="1"/>
    <col min="1024" max="1024" width="3.7109375" customWidth="1"/>
    <col min="1025" max="1025" width="75.7109375" customWidth="1"/>
    <col min="1027" max="1028" width="9.85546875" customWidth="1"/>
    <col min="1280" max="1280" width="3.7109375" customWidth="1"/>
    <col min="1281" max="1281" width="75.7109375" customWidth="1"/>
    <col min="1283" max="1284" width="9.85546875" customWidth="1"/>
    <col min="1536" max="1536" width="3.7109375" customWidth="1"/>
    <col min="1537" max="1537" width="75.7109375" customWidth="1"/>
    <col min="1539" max="1540" width="9.85546875" customWidth="1"/>
    <col min="1792" max="1792" width="3.7109375" customWidth="1"/>
    <col min="1793" max="1793" width="75.7109375" customWidth="1"/>
    <col min="1795" max="1796" width="9.85546875" customWidth="1"/>
    <col min="2048" max="2048" width="3.7109375" customWidth="1"/>
    <col min="2049" max="2049" width="75.7109375" customWidth="1"/>
    <col min="2051" max="2052" width="9.85546875" customWidth="1"/>
    <col min="2304" max="2304" width="3.7109375" customWidth="1"/>
    <col min="2305" max="2305" width="75.7109375" customWidth="1"/>
    <col min="2307" max="2308" width="9.85546875" customWidth="1"/>
    <col min="2560" max="2560" width="3.7109375" customWidth="1"/>
    <col min="2561" max="2561" width="75.7109375" customWidth="1"/>
    <col min="2563" max="2564" width="9.85546875" customWidth="1"/>
    <col min="2816" max="2816" width="3.7109375" customWidth="1"/>
    <col min="2817" max="2817" width="75.7109375" customWidth="1"/>
    <col min="2819" max="2820" width="9.85546875" customWidth="1"/>
    <col min="3072" max="3072" width="3.7109375" customWidth="1"/>
    <col min="3073" max="3073" width="75.7109375" customWidth="1"/>
    <col min="3075" max="3076" width="9.85546875" customWidth="1"/>
    <col min="3328" max="3328" width="3.7109375" customWidth="1"/>
    <col min="3329" max="3329" width="75.7109375" customWidth="1"/>
    <col min="3331" max="3332" width="9.85546875" customWidth="1"/>
    <col min="3584" max="3584" width="3.7109375" customWidth="1"/>
    <col min="3585" max="3585" width="75.7109375" customWidth="1"/>
    <col min="3587" max="3588" width="9.85546875" customWidth="1"/>
    <col min="3840" max="3840" width="3.7109375" customWidth="1"/>
    <col min="3841" max="3841" width="75.7109375" customWidth="1"/>
    <col min="3843" max="3844" width="9.85546875" customWidth="1"/>
    <col min="4096" max="4096" width="3.7109375" customWidth="1"/>
    <col min="4097" max="4097" width="75.7109375" customWidth="1"/>
    <col min="4099" max="4100" width="9.85546875" customWidth="1"/>
    <col min="4352" max="4352" width="3.7109375" customWidth="1"/>
    <col min="4353" max="4353" width="75.7109375" customWidth="1"/>
    <col min="4355" max="4356" width="9.85546875" customWidth="1"/>
    <col min="4608" max="4608" width="3.7109375" customWidth="1"/>
    <col min="4609" max="4609" width="75.7109375" customWidth="1"/>
    <col min="4611" max="4612" width="9.85546875" customWidth="1"/>
    <col min="4864" max="4864" width="3.7109375" customWidth="1"/>
    <col min="4865" max="4865" width="75.7109375" customWidth="1"/>
    <col min="4867" max="4868" width="9.85546875" customWidth="1"/>
    <col min="5120" max="5120" width="3.7109375" customWidth="1"/>
    <col min="5121" max="5121" width="75.7109375" customWidth="1"/>
    <col min="5123" max="5124" width="9.85546875" customWidth="1"/>
    <col min="5376" max="5376" width="3.7109375" customWidth="1"/>
    <col min="5377" max="5377" width="75.7109375" customWidth="1"/>
    <col min="5379" max="5380" width="9.85546875" customWidth="1"/>
    <col min="5632" max="5632" width="3.7109375" customWidth="1"/>
    <col min="5633" max="5633" width="75.7109375" customWidth="1"/>
    <col min="5635" max="5636" width="9.85546875" customWidth="1"/>
    <col min="5888" max="5888" width="3.7109375" customWidth="1"/>
    <col min="5889" max="5889" width="75.7109375" customWidth="1"/>
    <col min="5891" max="5892" width="9.85546875" customWidth="1"/>
    <col min="6144" max="6144" width="3.7109375" customWidth="1"/>
    <col min="6145" max="6145" width="75.7109375" customWidth="1"/>
    <col min="6147" max="6148" width="9.85546875" customWidth="1"/>
    <col min="6400" max="6400" width="3.7109375" customWidth="1"/>
    <col min="6401" max="6401" width="75.7109375" customWidth="1"/>
    <col min="6403" max="6404" width="9.85546875" customWidth="1"/>
    <col min="6656" max="6656" width="3.7109375" customWidth="1"/>
    <col min="6657" max="6657" width="75.7109375" customWidth="1"/>
    <col min="6659" max="6660" width="9.85546875" customWidth="1"/>
    <col min="6912" max="6912" width="3.7109375" customWidth="1"/>
    <col min="6913" max="6913" width="75.7109375" customWidth="1"/>
    <col min="6915" max="6916" width="9.85546875" customWidth="1"/>
    <col min="7168" max="7168" width="3.7109375" customWidth="1"/>
    <col min="7169" max="7169" width="75.7109375" customWidth="1"/>
    <col min="7171" max="7172" width="9.85546875" customWidth="1"/>
    <col min="7424" max="7424" width="3.7109375" customWidth="1"/>
    <col min="7425" max="7425" width="75.7109375" customWidth="1"/>
    <col min="7427" max="7428" width="9.85546875" customWidth="1"/>
    <col min="7680" max="7680" width="3.7109375" customWidth="1"/>
    <col min="7681" max="7681" width="75.7109375" customWidth="1"/>
    <col min="7683" max="7684" width="9.85546875" customWidth="1"/>
    <col min="7936" max="7936" width="3.7109375" customWidth="1"/>
    <col min="7937" max="7937" width="75.7109375" customWidth="1"/>
    <col min="7939" max="7940" width="9.85546875" customWidth="1"/>
    <col min="8192" max="8192" width="3.7109375" customWidth="1"/>
    <col min="8193" max="8193" width="75.7109375" customWidth="1"/>
    <col min="8195" max="8196" width="9.85546875" customWidth="1"/>
    <col min="8448" max="8448" width="3.7109375" customWidth="1"/>
    <col min="8449" max="8449" width="75.7109375" customWidth="1"/>
    <col min="8451" max="8452" width="9.85546875" customWidth="1"/>
    <col min="8704" max="8704" width="3.7109375" customWidth="1"/>
    <col min="8705" max="8705" width="75.7109375" customWidth="1"/>
    <col min="8707" max="8708" width="9.85546875" customWidth="1"/>
    <col min="8960" max="8960" width="3.7109375" customWidth="1"/>
    <col min="8961" max="8961" width="75.7109375" customWidth="1"/>
    <col min="8963" max="8964" width="9.85546875" customWidth="1"/>
    <col min="9216" max="9216" width="3.7109375" customWidth="1"/>
    <col min="9217" max="9217" width="75.7109375" customWidth="1"/>
    <col min="9219" max="9220" width="9.85546875" customWidth="1"/>
    <col min="9472" max="9472" width="3.7109375" customWidth="1"/>
    <col min="9473" max="9473" width="75.7109375" customWidth="1"/>
    <col min="9475" max="9476" width="9.85546875" customWidth="1"/>
    <col min="9728" max="9728" width="3.7109375" customWidth="1"/>
    <col min="9729" max="9729" width="75.7109375" customWidth="1"/>
    <col min="9731" max="9732" width="9.85546875" customWidth="1"/>
    <col min="9984" max="9984" width="3.7109375" customWidth="1"/>
    <col min="9985" max="9985" width="75.7109375" customWidth="1"/>
    <col min="9987" max="9988" width="9.85546875" customWidth="1"/>
    <col min="10240" max="10240" width="3.7109375" customWidth="1"/>
    <col min="10241" max="10241" width="75.7109375" customWidth="1"/>
    <col min="10243" max="10244" width="9.85546875" customWidth="1"/>
    <col min="10496" max="10496" width="3.7109375" customWidth="1"/>
    <col min="10497" max="10497" width="75.7109375" customWidth="1"/>
    <col min="10499" max="10500" width="9.85546875" customWidth="1"/>
    <col min="10752" max="10752" width="3.7109375" customWidth="1"/>
    <col min="10753" max="10753" width="75.7109375" customWidth="1"/>
    <col min="10755" max="10756" width="9.85546875" customWidth="1"/>
    <col min="11008" max="11008" width="3.7109375" customWidth="1"/>
    <col min="11009" max="11009" width="75.7109375" customWidth="1"/>
    <col min="11011" max="11012" width="9.85546875" customWidth="1"/>
    <col min="11264" max="11264" width="3.7109375" customWidth="1"/>
    <col min="11265" max="11265" width="75.7109375" customWidth="1"/>
    <col min="11267" max="11268" width="9.85546875" customWidth="1"/>
    <col min="11520" max="11520" width="3.7109375" customWidth="1"/>
    <col min="11521" max="11521" width="75.7109375" customWidth="1"/>
    <col min="11523" max="11524" width="9.85546875" customWidth="1"/>
    <col min="11776" max="11776" width="3.7109375" customWidth="1"/>
    <col min="11777" max="11777" width="75.7109375" customWidth="1"/>
    <col min="11779" max="11780" width="9.85546875" customWidth="1"/>
    <col min="12032" max="12032" width="3.7109375" customWidth="1"/>
    <col min="12033" max="12033" width="75.7109375" customWidth="1"/>
    <col min="12035" max="12036" width="9.85546875" customWidth="1"/>
    <col min="12288" max="12288" width="3.7109375" customWidth="1"/>
    <col min="12289" max="12289" width="75.7109375" customWidth="1"/>
    <col min="12291" max="12292" width="9.85546875" customWidth="1"/>
    <col min="12544" max="12544" width="3.7109375" customWidth="1"/>
    <col min="12545" max="12545" width="75.7109375" customWidth="1"/>
    <col min="12547" max="12548" width="9.85546875" customWidth="1"/>
    <col min="12800" max="12800" width="3.7109375" customWidth="1"/>
    <col min="12801" max="12801" width="75.7109375" customWidth="1"/>
    <col min="12803" max="12804" width="9.85546875" customWidth="1"/>
    <col min="13056" max="13056" width="3.7109375" customWidth="1"/>
    <col min="13057" max="13057" width="75.7109375" customWidth="1"/>
    <col min="13059" max="13060" width="9.85546875" customWidth="1"/>
    <col min="13312" max="13312" width="3.7109375" customWidth="1"/>
    <col min="13313" max="13313" width="75.7109375" customWidth="1"/>
    <col min="13315" max="13316" width="9.85546875" customWidth="1"/>
    <col min="13568" max="13568" width="3.7109375" customWidth="1"/>
    <col min="13569" max="13569" width="75.7109375" customWidth="1"/>
    <col min="13571" max="13572" width="9.85546875" customWidth="1"/>
    <col min="13824" max="13824" width="3.7109375" customWidth="1"/>
    <col min="13825" max="13825" width="75.7109375" customWidth="1"/>
    <col min="13827" max="13828" width="9.85546875" customWidth="1"/>
    <col min="14080" max="14080" width="3.7109375" customWidth="1"/>
    <col min="14081" max="14081" width="75.7109375" customWidth="1"/>
    <col min="14083" max="14084" width="9.85546875" customWidth="1"/>
    <col min="14336" max="14336" width="3.7109375" customWidth="1"/>
    <col min="14337" max="14337" width="75.7109375" customWidth="1"/>
    <col min="14339" max="14340" width="9.85546875" customWidth="1"/>
    <col min="14592" max="14592" width="3.7109375" customWidth="1"/>
    <col min="14593" max="14593" width="75.7109375" customWidth="1"/>
    <col min="14595" max="14596" width="9.85546875" customWidth="1"/>
    <col min="14848" max="14848" width="3.7109375" customWidth="1"/>
    <col min="14849" max="14849" width="75.7109375" customWidth="1"/>
    <col min="14851" max="14852" width="9.85546875" customWidth="1"/>
    <col min="15104" max="15104" width="3.7109375" customWidth="1"/>
    <col min="15105" max="15105" width="75.7109375" customWidth="1"/>
    <col min="15107" max="15108" width="9.85546875" customWidth="1"/>
    <col min="15360" max="15360" width="3.7109375" customWidth="1"/>
    <col min="15361" max="15361" width="75.7109375" customWidth="1"/>
    <col min="15363" max="15364" width="9.85546875" customWidth="1"/>
    <col min="15616" max="15616" width="3.7109375" customWidth="1"/>
    <col min="15617" max="15617" width="75.7109375" customWidth="1"/>
    <col min="15619" max="15620" width="9.85546875" customWidth="1"/>
    <col min="15872" max="15872" width="3.7109375" customWidth="1"/>
    <col min="15873" max="15873" width="75.7109375" customWidth="1"/>
    <col min="15875" max="15876" width="9.85546875" customWidth="1"/>
    <col min="16128" max="16128" width="3.7109375" customWidth="1"/>
    <col min="16129" max="16129" width="75.7109375" customWidth="1"/>
    <col min="16131" max="16132" width="9.85546875" customWidth="1"/>
  </cols>
  <sheetData>
    <row r="1" spans="1:10" ht="13.5">
      <c r="I1" s="388"/>
      <c r="J1" s="51" t="str">
        <f>'17. РБА'!W1</f>
        <v>Приложение № 6</v>
      </c>
    </row>
    <row r="2" spans="1:10" s="79" customFormat="1" ht="18.75">
      <c r="A2" s="3634" t="s">
        <v>748</v>
      </c>
      <c r="B2" s="3634"/>
      <c r="C2" s="3634"/>
      <c r="D2" s="3634"/>
      <c r="E2" s="3634"/>
      <c r="F2" s="3634"/>
      <c r="G2" s="3634"/>
      <c r="H2" s="3634"/>
      <c r="I2" s="3634"/>
      <c r="J2" s="3634"/>
    </row>
    <row r="3" spans="1:10" s="80" customFormat="1" ht="18.75">
      <c r="A3" s="3635" t="s">
        <v>1421</v>
      </c>
      <c r="B3" s="3635"/>
      <c r="C3" s="3635"/>
      <c r="D3" s="3635"/>
      <c r="E3" s="3635"/>
      <c r="F3" s="3635"/>
      <c r="G3" s="3635"/>
      <c r="H3" s="3635"/>
      <c r="I3" s="3635"/>
      <c r="J3" s="3635"/>
    </row>
    <row r="4" spans="1:10" s="81" customFormat="1" ht="15.75" customHeight="1">
      <c r="A4" s="3636" t="str">
        <f>'1. Анкетна карта'!A3:J3</f>
        <v>на "Водоснабдяване и канализация" ООД , гр. Враца</v>
      </c>
      <c r="B4" s="3636"/>
      <c r="C4" s="3636"/>
      <c r="D4" s="3636"/>
      <c r="E4" s="3636"/>
      <c r="F4" s="3636"/>
      <c r="G4" s="3636"/>
      <c r="H4" s="3636"/>
      <c r="I4" s="3636"/>
      <c r="J4" s="3636"/>
    </row>
    <row r="5" spans="1:10" s="54" customFormat="1" ht="16.5" customHeight="1">
      <c r="A5" s="3636" t="str">
        <f>'1. Анкетна карта'!A4:J4</f>
        <v>ЕИК по БУЛСТАТ: 816090199</v>
      </c>
      <c r="B5" s="3636"/>
      <c r="C5" s="3636"/>
      <c r="D5" s="3636"/>
      <c r="E5" s="3636"/>
      <c r="F5" s="3636"/>
      <c r="G5" s="3636"/>
      <c r="H5" s="3636"/>
      <c r="I5" s="3636"/>
      <c r="J5" s="3636"/>
    </row>
    <row r="6" spans="1:10" s="54" customFormat="1" ht="15" customHeight="1" thickBot="1">
      <c r="A6" s="82"/>
      <c r="B6" s="82"/>
      <c r="C6" s="82"/>
      <c r="D6" s="82"/>
      <c r="E6" s="82"/>
    </row>
    <row r="7" spans="1:10" s="54" customFormat="1" ht="35.1" customHeight="1" thickBot="1">
      <c r="A7" s="2504" t="s">
        <v>1</v>
      </c>
      <c r="B7" s="2505" t="s">
        <v>374</v>
      </c>
      <c r="C7" s="2505" t="s">
        <v>222</v>
      </c>
      <c r="D7" s="2502" t="str">
        <f>'Приложение '!$G12</f>
        <v>2015 г.</v>
      </c>
      <c r="E7" s="2502" t="str">
        <f>'Приложение '!$G13</f>
        <v>2016 г.</v>
      </c>
      <c r="F7" s="2502" t="str">
        <f>'Приложение '!$G14</f>
        <v>2017 г.</v>
      </c>
      <c r="G7" s="2502" t="str">
        <f>'Приложение '!$G15</f>
        <v>2018 г.</v>
      </c>
      <c r="H7" s="2502" t="str">
        <f>'Приложение '!$G16</f>
        <v>2019 г.</v>
      </c>
      <c r="I7" s="2502" t="str">
        <f>'Приложение '!$G17</f>
        <v>2020 г.</v>
      </c>
      <c r="J7" s="2503" t="str">
        <f>'Приложение '!$G18</f>
        <v>2021 г.</v>
      </c>
    </row>
    <row r="8" spans="1:10" s="54" customFormat="1" ht="15" customHeight="1">
      <c r="A8" s="2506" t="s">
        <v>268</v>
      </c>
      <c r="B8" s="2507" t="s">
        <v>376</v>
      </c>
      <c r="C8" s="443" t="s">
        <v>377</v>
      </c>
      <c r="D8" s="797">
        <v>59</v>
      </c>
      <c r="E8" s="797">
        <v>59</v>
      </c>
      <c r="F8" s="797">
        <v>76</v>
      </c>
      <c r="G8" s="797">
        <v>75</v>
      </c>
      <c r="H8" s="797">
        <v>73</v>
      </c>
      <c r="I8" s="797">
        <v>71</v>
      </c>
      <c r="J8" s="798">
        <v>70</v>
      </c>
    </row>
    <row r="9" spans="1:10" s="54" customFormat="1" ht="15" customHeight="1">
      <c r="A9" s="83" t="s">
        <v>269</v>
      </c>
      <c r="B9" s="85" t="s">
        <v>379</v>
      </c>
      <c r="C9" s="84" t="s">
        <v>380</v>
      </c>
      <c r="D9" s="110">
        <f t="shared" ref="D9:E9" si="0">365/D8</f>
        <v>6.1864406779661021</v>
      </c>
      <c r="E9" s="110">
        <f t="shared" si="0"/>
        <v>6.1864406779661021</v>
      </c>
      <c r="F9" s="110">
        <f t="shared" ref="F9:J9" si="1">365/F8</f>
        <v>4.8026315789473681</v>
      </c>
      <c r="G9" s="110">
        <f t="shared" si="1"/>
        <v>4.8666666666666663</v>
      </c>
      <c r="H9" s="110">
        <f t="shared" si="1"/>
        <v>5</v>
      </c>
      <c r="I9" s="110">
        <f t="shared" si="1"/>
        <v>5.140845070422535</v>
      </c>
      <c r="J9" s="520">
        <f t="shared" si="1"/>
        <v>5.2142857142857144</v>
      </c>
    </row>
    <row r="10" spans="1:10" s="54" customFormat="1" ht="15" customHeight="1">
      <c r="A10" s="83" t="s">
        <v>282</v>
      </c>
      <c r="B10" s="86" t="s">
        <v>382</v>
      </c>
      <c r="C10" s="84" t="s">
        <v>361</v>
      </c>
      <c r="D10" s="111">
        <f t="shared" ref="D10:E10" si="2">D11-D12</f>
        <v>9627</v>
      </c>
      <c r="E10" s="111">
        <f t="shared" si="2"/>
        <v>10353</v>
      </c>
      <c r="F10" s="111">
        <f t="shared" ref="F10:I10" si="3">F11-F12</f>
        <v>11868.999999999998</v>
      </c>
      <c r="G10" s="111">
        <f t="shared" si="3"/>
        <v>12069</v>
      </c>
      <c r="H10" s="111">
        <f t="shared" si="3"/>
        <v>12122</v>
      </c>
      <c r="I10" s="111">
        <f t="shared" si="3"/>
        <v>12018</v>
      </c>
      <c r="J10" s="521">
        <f t="shared" ref="J10" si="4">J11-J12</f>
        <v>12667</v>
      </c>
    </row>
    <row r="11" spans="1:10" s="54" customFormat="1" ht="15" customHeight="1">
      <c r="A11" s="87" t="s">
        <v>327</v>
      </c>
      <c r="B11" s="88" t="s">
        <v>383</v>
      </c>
      <c r="C11" s="84" t="s">
        <v>361</v>
      </c>
      <c r="D11" s="112">
        <f>'12. Разходи'!C84</f>
        <v>11108</v>
      </c>
      <c r="E11" s="112">
        <f>'12. Разходи'!D84</f>
        <v>11999.532518635322</v>
      </c>
      <c r="F11" s="112">
        <f>'12. Разходи'!E84</f>
        <v>13678.099121150677</v>
      </c>
      <c r="G11" s="112">
        <f>'12. Разходи'!F84</f>
        <v>13872.025582808863</v>
      </c>
      <c r="H11" s="112">
        <f>'12. Разходи'!G84</f>
        <v>13859.315312111041</v>
      </c>
      <c r="I11" s="112">
        <f>'12. Разходи'!H84</f>
        <v>13783.459376490868</v>
      </c>
      <c r="J11" s="522">
        <f>'12. Разходи'!I84</f>
        <v>14408.127778429551</v>
      </c>
    </row>
    <row r="12" spans="1:10" s="54" customFormat="1" ht="15" customHeight="1">
      <c r="A12" s="87" t="s">
        <v>328</v>
      </c>
      <c r="B12" s="88" t="s">
        <v>871</v>
      </c>
      <c r="C12" s="84" t="s">
        <v>361</v>
      </c>
      <c r="D12" s="112">
        <f>'12. Разходи'!C53</f>
        <v>1481</v>
      </c>
      <c r="E12" s="112">
        <f>'12. Разходи'!D53</f>
        <v>1646.5325186353211</v>
      </c>
      <c r="F12" s="112">
        <f>'12. Разходи'!E53</f>
        <v>1809.0991211506782</v>
      </c>
      <c r="G12" s="112">
        <f>'12. Разходи'!F53</f>
        <v>1803.0255828088632</v>
      </c>
      <c r="H12" s="112">
        <f>'12. Разходи'!G53</f>
        <v>1737.3153121110399</v>
      </c>
      <c r="I12" s="112">
        <f>'12. Разходи'!H53</f>
        <v>1765.4593764908677</v>
      </c>
      <c r="J12" s="522">
        <f>'12. Разходи'!I53</f>
        <v>1741.1277784295512</v>
      </c>
    </row>
    <row r="13" spans="1:10" s="54" customFormat="1" ht="15" customHeight="1">
      <c r="A13" s="83" t="s">
        <v>284</v>
      </c>
      <c r="B13" s="86" t="s">
        <v>385</v>
      </c>
      <c r="C13" s="84" t="s">
        <v>361</v>
      </c>
      <c r="D13" s="111">
        <f t="shared" ref="D13:E13" si="5">D14-D15</f>
        <v>598</v>
      </c>
      <c r="E13" s="111">
        <f t="shared" si="5"/>
        <v>626</v>
      </c>
      <c r="F13" s="111">
        <f t="shared" ref="F13:I13" si="6">F14-F15</f>
        <v>611.5</v>
      </c>
      <c r="G13" s="111">
        <f t="shared" si="6"/>
        <v>611.5</v>
      </c>
      <c r="H13" s="111">
        <f t="shared" si="6"/>
        <v>653</v>
      </c>
      <c r="I13" s="111">
        <f t="shared" si="6"/>
        <v>657.5</v>
      </c>
      <c r="J13" s="521">
        <f t="shared" ref="J13" si="7">J14-J15</f>
        <v>691.5</v>
      </c>
    </row>
    <row r="14" spans="1:10" s="54" customFormat="1" ht="15" customHeight="1">
      <c r="A14" s="87" t="s">
        <v>768</v>
      </c>
      <c r="B14" s="88" t="s">
        <v>383</v>
      </c>
      <c r="C14" s="84" t="s">
        <v>361</v>
      </c>
      <c r="D14" s="112">
        <f>'12. Разходи'!J84</f>
        <v>669</v>
      </c>
      <c r="E14" s="112">
        <f>'12. Разходи'!K84</f>
        <v>747.05164134174311</v>
      </c>
      <c r="F14" s="112">
        <f>'12. Разходи'!L84</f>
        <v>807.51350969458872</v>
      </c>
      <c r="G14" s="112">
        <f>'12. Разходи'!M84</f>
        <v>891.86580610397448</v>
      </c>
      <c r="H14" s="112">
        <f>'12. Разходи'!N84</f>
        <v>967.01868404179083</v>
      </c>
      <c r="I14" s="112">
        <f>'12. Разходи'!O84</f>
        <v>960.72670868664352</v>
      </c>
      <c r="J14" s="522">
        <f>'12. Разходи'!P84</f>
        <v>979.70122468266766</v>
      </c>
    </row>
    <row r="15" spans="1:10" s="89" customFormat="1" ht="15" customHeight="1">
      <c r="A15" s="87" t="s">
        <v>769</v>
      </c>
      <c r="B15" s="88" t="s">
        <v>871</v>
      </c>
      <c r="C15" s="84" t="s">
        <v>361</v>
      </c>
      <c r="D15" s="115">
        <f>'12. Разходи'!J53</f>
        <v>71</v>
      </c>
      <c r="E15" s="115">
        <f>'12. Разходи'!K53</f>
        <v>121.05164134174312</v>
      </c>
      <c r="F15" s="115">
        <f>'12. Разходи'!L53</f>
        <v>196.01350969458878</v>
      </c>
      <c r="G15" s="115">
        <f>'12. Разходи'!M53</f>
        <v>280.36580610397448</v>
      </c>
      <c r="H15" s="115">
        <f>'12. Разходи'!N53</f>
        <v>314.01868404179083</v>
      </c>
      <c r="I15" s="115">
        <f>'12. Разходи'!O53</f>
        <v>303.22670868664352</v>
      </c>
      <c r="J15" s="522">
        <f>'12. Разходи'!P53</f>
        <v>288.20122468266766</v>
      </c>
    </row>
    <row r="16" spans="1:10" s="89" customFormat="1" ht="15">
      <c r="A16" s="83" t="s">
        <v>375</v>
      </c>
      <c r="B16" s="86" t="s">
        <v>386</v>
      </c>
      <c r="C16" s="84" t="s">
        <v>361</v>
      </c>
      <c r="D16" s="111">
        <f t="shared" ref="D16:E16" si="8">D17-D18</f>
        <v>795</v>
      </c>
      <c r="E16" s="111">
        <f t="shared" si="8"/>
        <v>1071</v>
      </c>
      <c r="F16" s="111">
        <f t="shared" ref="F16:I16" si="9">F17-F18</f>
        <v>1214</v>
      </c>
      <c r="G16" s="111">
        <f t="shared" si="9"/>
        <v>1343</v>
      </c>
      <c r="H16" s="111">
        <f t="shared" si="9"/>
        <v>1402</v>
      </c>
      <c r="I16" s="111">
        <f t="shared" si="9"/>
        <v>1510</v>
      </c>
      <c r="J16" s="521">
        <f t="shared" ref="J16" si="10">J17-J18</f>
        <v>1510</v>
      </c>
    </row>
    <row r="17" spans="1:16" s="89" customFormat="1" ht="15">
      <c r="A17" s="87" t="s">
        <v>770</v>
      </c>
      <c r="B17" s="88" t="s">
        <v>383</v>
      </c>
      <c r="C17" s="84" t="s">
        <v>361</v>
      </c>
      <c r="D17" s="112">
        <f>'12. Разходи'!Q84</f>
        <v>820</v>
      </c>
      <c r="E17" s="112">
        <f>'12. Разходи'!R84</f>
        <v>1104.9608400229358</v>
      </c>
      <c r="F17" s="112">
        <f>'12. Разходи'!S84</f>
        <v>1286.5073691547332</v>
      </c>
      <c r="G17" s="112">
        <f>'12. Разходи'!T84</f>
        <v>1429.7986110871627</v>
      </c>
      <c r="H17" s="112">
        <f>'12. Разходи'!U84</f>
        <v>1519.9060038471694</v>
      </c>
      <c r="I17" s="112">
        <f>'12. Разходи'!V84</f>
        <v>1609.6239148224888</v>
      </c>
      <c r="J17" s="522">
        <f>'12. Разходи'!W84</f>
        <v>1617.3609968877809</v>
      </c>
    </row>
    <row r="18" spans="1:16" s="89" customFormat="1" ht="15" customHeight="1" thickBot="1">
      <c r="A18" s="2508" t="s">
        <v>771</v>
      </c>
      <c r="B18" s="2509" t="s">
        <v>871</v>
      </c>
      <c r="C18" s="2510" t="s">
        <v>361</v>
      </c>
      <c r="D18" s="519">
        <f>'12. Разходи'!Q53</f>
        <v>25</v>
      </c>
      <c r="E18" s="519">
        <f>'12. Разходи'!R53</f>
        <v>33.960840022935784</v>
      </c>
      <c r="F18" s="519">
        <f>'12. Разходи'!S53</f>
        <v>72.50736915473324</v>
      </c>
      <c r="G18" s="519">
        <f>'12. Разходи'!T53</f>
        <v>86.798611087162698</v>
      </c>
      <c r="H18" s="519">
        <f>'12. Разходи'!U53</f>
        <v>117.90600384716934</v>
      </c>
      <c r="I18" s="519">
        <f>'12. Разходи'!V53</f>
        <v>99.623914822488828</v>
      </c>
      <c r="J18" s="523">
        <f>'12. Разходи'!W53</f>
        <v>107.36099688778089</v>
      </c>
      <c r="P18" s="109"/>
    </row>
    <row r="19" spans="1:16" s="54" customFormat="1" ht="15" thickBot="1">
      <c r="A19" s="397" t="s">
        <v>378</v>
      </c>
      <c r="B19" s="113" t="s">
        <v>387</v>
      </c>
      <c r="C19" s="90" t="s">
        <v>361</v>
      </c>
      <c r="D19" s="114">
        <f>D10/D9</f>
        <v>1556.145205479452</v>
      </c>
      <c r="E19" s="114">
        <f t="shared" ref="E19" si="11">E10/E9</f>
        <v>1673.4986301369861</v>
      </c>
      <c r="F19" s="114">
        <f t="shared" ref="F19:J19" si="12">F10/F9</f>
        <v>2471.3534246575341</v>
      </c>
      <c r="G19" s="114">
        <f t="shared" si="12"/>
        <v>2479.9315068493152</v>
      </c>
      <c r="H19" s="114">
        <f t="shared" si="12"/>
        <v>2424.4</v>
      </c>
      <c r="I19" s="114">
        <f t="shared" si="12"/>
        <v>2337.7479452054795</v>
      </c>
      <c r="J19" s="400">
        <f t="shared" si="12"/>
        <v>2429.2876712328766</v>
      </c>
    </row>
    <row r="20" spans="1:16" s="91" customFormat="1" ht="15.75" thickBot="1">
      <c r="A20" s="397" t="s">
        <v>381</v>
      </c>
      <c r="B20" s="113" t="s">
        <v>388</v>
      </c>
      <c r="C20" s="90" t="s">
        <v>361</v>
      </c>
      <c r="D20" s="114">
        <f t="shared" ref="D20:E20" si="13">D13/D9</f>
        <v>96.663013698630124</v>
      </c>
      <c r="E20" s="114">
        <f t="shared" si="13"/>
        <v>101.1890410958904</v>
      </c>
      <c r="F20" s="114">
        <f t="shared" ref="F20:J20" si="14">F13/F9</f>
        <v>127.32602739726028</v>
      </c>
      <c r="G20" s="114">
        <f t="shared" si="14"/>
        <v>125.65068493150686</v>
      </c>
      <c r="H20" s="114">
        <f t="shared" si="14"/>
        <v>130.6</v>
      </c>
      <c r="I20" s="114">
        <f t="shared" si="14"/>
        <v>127.89726027397261</v>
      </c>
      <c r="J20" s="400">
        <f t="shared" si="14"/>
        <v>132.61643835616439</v>
      </c>
    </row>
    <row r="21" spans="1:16" s="91" customFormat="1" ht="15.75" thickBot="1">
      <c r="A21" s="397" t="s">
        <v>384</v>
      </c>
      <c r="B21" s="113" t="s">
        <v>389</v>
      </c>
      <c r="C21" s="90" t="s">
        <v>361</v>
      </c>
      <c r="D21" s="114">
        <f t="shared" ref="D21:E21" si="15">D16/D9</f>
        <v>128.50684931506848</v>
      </c>
      <c r="E21" s="114">
        <f t="shared" si="15"/>
        <v>173.12054794520546</v>
      </c>
      <c r="F21" s="114">
        <f t="shared" ref="F21:J21" si="16">F16/F9</f>
        <v>252.77808219178084</v>
      </c>
      <c r="G21" s="114">
        <f t="shared" si="16"/>
        <v>275.95890410958907</v>
      </c>
      <c r="H21" s="114">
        <f t="shared" si="16"/>
        <v>280.39999999999998</v>
      </c>
      <c r="I21" s="114">
        <f t="shared" si="16"/>
        <v>293.72602739726028</v>
      </c>
      <c r="J21" s="400">
        <f t="shared" si="16"/>
        <v>289.58904109589042</v>
      </c>
    </row>
    <row r="22" spans="1:16" s="91" customFormat="1" ht="15">
      <c r="A22" s="54"/>
      <c r="B22" s="54"/>
      <c r="C22" s="54"/>
      <c r="D22" s="54"/>
      <c r="E22" s="54"/>
    </row>
    <row r="23" spans="1:16" ht="15">
      <c r="A23" s="72"/>
      <c r="B23" s="76"/>
      <c r="C23" s="74"/>
      <c r="D23" s="74"/>
      <c r="E23" s="74"/>
    </row>
    <row r="24" spans="1:16" ht="15">
      <c r="A24" s="72"/>
      <c r="B24" s="396" t="str">
        <f>'17. РБА'!B25</f>
        <v>Дата: 27.06.2016г.</v>
      </c>
      <c r="C24" s="74"/>
      <c r="D24" s="74"/>
      <c r="E24" s="74"/>
      <c r="F24" s="91" t="s">
        <v>263</v>
      </c>
      <c r="G24" s="91"/>
      <c r="H24" s="91"/>
      <c r="I24" s="91"/>
      <c r="J24" s="91"/>
    </row>
    <row r="25" spans="1:16">
      <c r="E25" s="534" t="str">
        <f>'14. ОПР'!D49</f>
        <v>Главен счетоводител:</v>
      </c>
      <c r="F25" s="289"/>
      <c r="G25" s="219" t="s">
        <v>262</v>
      </c>
      <c r="H25" s="199"/>
      <c r="I25" s="199"/>
    </row>
    <row r="26" spans="1:16">
      <c r="F26" s="220"/>
      <c r="G26" s="290"/>
      <c r="H26" s="291" t="s">
        <v>5</v>
      </c>
      <c r="I26" s="199"/>
    </row>
    <row r="27" spans="1:16">
      <c r="F27" s="220"/>
      <c r="G27" s="290"/>
      <c r="H27" s="291"/>
      <c r="I27" s="199"/>
    </row>
    <row r="28" spans="1:16">
      <c r="F28" s="220"/>
      <c r="G28" s="290"/>
      <c r="H28" s="291"/>
      <c r="I28" s="199"/>
    </row>
    <row r="29" spans="1:16">
      <c r="F29" s="220"/>
      <c r="G29" s="290"/>
      <c r="H29" s="291"/>
      <c r="I29" s="199"/>
    </row>
    <row r="30" spans="1:16">
      <c r="D30" s="2215"/>
      <c r="E30" s="2215" t="str">
        <f>'14. ОПР'!E54</f>
        <v>Управител:</v>
      </c>
      <c r="G30" s="219" t="s">
        <v>262</v>
      </c>
      <c r="H30" s="217"/>
      <c r="I30" s="199"/>
    </row>
    <row r="31" spans="1:16">
      <c r="A31" s="3592" t="s">
        <v>247</v>
      </c>
      <c r="B31" s="3592"/>
      <c r="C31" s="3592"/>
      <c r="D31" s="2216"/>
      <c r="E31" s="2216"/>
      <c r="F31" s="293"/>
      <c r="G31" s="290"/>
      <c r="H31" s="291" t="s">
        <v>6</v>
      </c>
      <c r="I31" s="199"/>
    </row>
    <row r="32" spans="1:16">
      <c r="A32" s="3595" t="s">
        <v>1497</v>
      </c>
      <c r="B32" s="3595"/>
      <c r="C32" s="3595"/>
      <c r="D32" s="2"/>
      <c r="E32" s="2"/>
      <c r="F32" s="2"/>
      <c r="G32" s="2"/>
    </row>
    <row r="33" spans="1:7" ht="13.5" thickBot="1">
      <c r="A33" s="2"/>
      <c r="B33" s="2"/>
      <c r="C33" s="2513" t="s">
        <v>1498</v>
      </c>
      <c r="D33" s="2513" t="s">
        <v>1499</v>
      </c>
      <c r="E33" s="2513" t="s">
        <v>1500</v>
      </c>
      <c r="F33" s="2513" t="s">
        <v>1501</v>
      </c>
      <c r="G33" s="2513" t="s">
        <v>1502</v>
      </c>
    </row>
    <row r="34" spans="1:7">
      <c r="A34" s="2"/>
      <c r="B34" s="2514" t="s">
        <v>1503</v>
      </c>
      <c r="C34" s="2511">
        <v>66</v>
      </c>
      <c r="D34" s="2511">
        <v>65</v>
      </c>
      <c r="E34" s="2511">
        <v>64</v>
      </c>
      <c r="F34" s="2511">
        <v>63</v>
      </c>
      <c r="G34" s="2511">
        <v>62</v>
      </c>
    </row>
    <row r="35" spans="1:7">
      <c r="A35" s="2"/>
      <c r="B35" s="2514" t="s">
        <v>1504</v>
      </c>
      <c r="C35" s="2512">
        <v>76</v>
      </c>
      <c r="D35" s="2512">
        <v>75</v>
      </c>
      <c r="E35" s="2512">
        <v>73</v>
      </c>
      <c r="F35" s="2512">
        <v>71</v>
      </c>
      <c r="G35" s="2512">
        <v>70</v>
      </c>
    </row>
    <row r="36" spans="1:7">
      <c r="A36" s="2"/>
      <c r="B36" s="2514" t="s">
        <v>1506</v>
      </c>
      <c r="C36" s="2512">
        <v>86</v>
      </c>
      <c r="D36" s="2512">
        <v>85</v>
      </c>
      <c r="E36" s="2512">
        <v>83</v>
      </c>
      <c r="F36" s="2512">
        <v>81</v>
      </c>
      <c r="G36" s="2512">
        <v>80</v>
      </c>
    </row>
    <row r="37" spans="1:7">
      <c r="A37" s="2"/>
      <c r="B37" s="2514" t="s">
        <v>1505</v>
      </c>
      <c r="C37" s="2512">
        <v>88</v>
      </c>
      <c r="D37" s="2512">
        <v>87</v>
      </c>
      <c r="E37" s="2512">
        <v>85</v>
      </c>
      <c r="F37" s="2512">
        <v>83</v>
      </c>
      <c r="G37" s="2512">
        <v>82</v>
      </c>
    </row>
  </sheetData>
  <sheetProtection password="C6DB" sheet="1" objects="1" scenarios="1" formatCells="0" formatColumns="0" formatRows="0"/>
  <mergeCells count="6">
    <mergeCell ref="A31:C31"/>
    <mergeCell ref="A32:C32"/>
    <mergeCell ref="A2:J2"/>
    <mergeCell ref="A3:J3"/>
    <mergeCell ref="A4:J4"/>
    <mergeCell ref="A5:J5"/>
  </mergeCells>
  <printOptions horizontalCentered="1" verticalCentered="1"/>
  <pageMargins left="0.78740157480314965" right="0.78740157480314965" top="0.78740157480314965" bottom="0.78740157480314965" header="0.51181102362204722" footer="0.51181102362204722"/>
  <pageSetup paperSize="9" scale="85" orientation="landscape"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sheetPr>
  <dimension ref="A1:M51"/>
  <sheetViews>
    <sheetView showGridLines="0" view="pageBreakPreview" topLeftCell="A4" zoomScaleNormal="110" zoomScaleSheetLayoutView="100" workbookViewId="0">
      <selection activeCell="G19" sqref="G19"/>
    </sheetView>
  </sheetViews>
  <sheetFormatPr defaultColWidth="11.42578125" defaultRowHeight="12"/>
  <cols>
    <col min="1" max="1" width="4.5703125" style="94" customWidth="1"/>
    <col min="2" max="2" width="70.7109375" style="94" customWidth="1"/>
    <col min="3" max="5" width="8.7109375" style="94" customWidth="1"/>
    <col min="6" max="8" width="8.7109375" style="3" customWidth="1"/>
    <col min="9" max="10" width="8.7109375" style="94" customWidth="1"/>
    <col min="11" max="11" width="11.42578125" style="94"/>
    <col min="12" max="12" width="12" style="94" bestFit="1" customWidth="1"/>
    <col min="13" max="255" width="11.42578125" style="94"/>
    <col min="256" max="256" width="4.5703125" style="94" customWidth="1"/>
    <col min="257" max="257" width="70.7109375" style="94" customWidth="1"/>
    <col min="258" max="258" width="8.7109375" style="94" customWidth="1"/>
    <col min="259" max="260" width="10.7109375" style="94" customWidth="1"/>
    <col min="261" max="261" width="10.85546875" style="94" customWidth="1"/>
    <col min="262" max="263" width="10.42578125" style="94" customWidth="1"/>
    <col min="264" max="511" width="11.42578125" style="94"/>
    <col min="512" max="512" width="4.5703125" style="94" customWidth="1"/>
    <col min="513" max="513" width="70.7109375" style="94" customWidth="1"/>
    <col min="514" max="514" width="8.7109375" style="94" customWidth="1"/>
    <col min="515" max="516" width="10.7109375" style="94" customWidth="1"/>
    <col min="517" max="517" width="10.85546875" style="94" customWidth="1"/>
    <col min="518" max="519" width="10.42578125" style="94" customWidth="1"/>
    <col min="520" max="767" width="11.42578125" style="94"/>
    <col min="768" max="768" width="4.5703125" style="94" customWidth="1"/>
    <col min="769" max="769" width="70.7109375" style="94" customWidth="1"/>
    <col min="770" max="770" width="8.7109375" style="94" customWidth="1"/>
    <col min="771" max="772" width="10.7109375" style="94" customWidth="1"/>
    <col min="773" max="773" width="10.85546875" style="94" customWidth="1"/>
    <col min="774" max="775" width="10.42578125" style="94" customWidth="1"/>
    <col min="776" max="1023" width="11.42578125" style="94"/>
    <col min="1024" max="1024" width="4.5703125" style="94" customWidth="1"/>
    <col min="1025" max="1025" width="70.7109375" style="94" customWidth="1"/>
    <col min="1026" max="1026" width="8.7109375" style="94" customWidth="1"/>
    <col min="1027" max="1028" width="10.7109375" style="94" customWidth="1"/>
    <col min="1029" max="1029" width="10.85546875" style="94" customWidth="1"/>
    <col min="1030" max="1031" width="10.42578125" style="94" customWidth="1"/>
    <col min="1032" max="1279" width="11.42578125" style="94"/>
    <col min="1280" max="1280" width="4.5703125" style="94" customWidth="1"/>
    <col min="1281" max="1281" width="70.7109375" style="94" customWidth="1"/>
    <col min="1282" max="1282" width="8.7109375" style="94" customWidth="1"/>
    <col min="1283" max="1284" width="10.7109375" style="94" customWidth="1"/>
    <col min="1285" max="1285" width="10.85546875" style="94" customWidth="1"/>
    <col min="1286" max="1287" width="10.42578125" style="94" customWidth="1"/>
    <col min="1288" max="1535" width="11.42578125" style="94"/>
    <col min="1536" max="1536" width="4.5703125" style="94" customWidth="1"/>
    <col min="1537" max="1537" width="70.7109375" style="94" customWidth="1"/>
    <col min="1538" max="1538" width="8.7109375" style="94" customWidth="1"/>
    <col min="1539" max="1540" width="10.7109375" style="94" customWidth="1"/>
    <col min="1541" max="1541" width="10.85546875" style="94" customWidth="1"/>
    <col min="1542" max="1543" width="10.42578125" style="94" customWidth="1"/>
    <col min="1544" max="1791" width="11.42578125" style="94"/>
    <col min="1792" max="1792" width="4.5703125" style="94" customWidth="1"/>
    <col min="1793" max="1793" width="70.7109375" style="94" customWidth="1"/>
    <col min="1794" max="1794" width="8.7109375" style="94" customWidth="1"/>
    <col min="1795" max="1796" width="10.7109375" style="94" customWidth="1"/>
    <col min="1797" max="1797" width="10.85546875" style="94" customWidth="1"/>
    <col min="1798" max="1799" width="10.42578125" style="94" customWidth="1"/>
    <col min="1800" max="2047" width="11.42578125" style="94"/>
    <col min="2048" max="2048" width="4.5703125" style="94" customWidth="1"/>
    <col min="2049" max="2049" width="70.7109375" style="94" customWidth="1"/>
    <col min="2050" max="2050" width="8.7109375" style="94" customWidth="1"/>
    <col min="2051" max="2052" width="10.7109375" style="94" customWidth="1"/>
    <col min="2053" max="2053" width="10.85546875" style="94" customWidth="1"/>
    <col min="2054" max="2055" width="10.42578125" style="94" customWidth="1"/>
    <col min="2056" max="2303" width="11.42578125" style="94"/>
    <col min="2304" max="2304" width="4.5703125" style="94" customWidth="1"/>
    <col min="2305" max="2305" width="70.7109375" style="94" customWidth="1"/>
    <col min="2306" max="2306" width="8.7109375" style="94" customWidth="1"/>
    <col min="2307" max="2308" width="10.7109375" style="94" customWidth="1"/>
    <col min="2309" max="2309" width="10.85546875" style="94" customWidth="1"/>
    <col min="2310" max="2311" width="10.42578125" style="94" customWidth="1"/>
    <col min="2312" max="2559" width="11.42578125" style="94"/>
    <col min="2560" max="2560" width="4.5703125" style="94" customWidth="1"/>
    <col min="2561" max="2561" width="70.7109375" style="94" customWidth="1"/>
    <col min="2562" max="2562" width="8.7109375" style="94" customWidth="1"/>
    <col min="2563" max="2564" width="10.7109375" style="94" customWidth="1"/>
    <col min="2565" max="2565" width="10.85546875" style="94" customWidth="1"/>
    <col min="2566" max="2567" width="10.42578125" style="94" customWidth="1"/>
    <col min="2568" max="2815" width="11.42578125" style="94"/>
    <col min="2816" max="2816" width="4.5703125" style="94" customWidth="1"/>
    <col min="2817" max="2817" width="70.7109375" style="94" customWidth="1"/>
    <col min="2818" max="2818" width="8.7109375" style="94" customWidth="1"/>
    <col min="2819" max="2820" width="10.7109375" style="94" customWidth="1"/>
    <col min="2821" max="2821" width="10.85546875" style="94" customWidth="1"/>
    <col min="2822" max="2823" width="10.42578125" style="94" customWidth="1"/>
    <col min="2824" max="3071" width="11.42578125" style="94"/>
    <col min="3072" max="3072" width="4.5703125" style="94" customWidth="1"/>
    <col min="3073" max="3073" width="70.7109375" style="94" customWidth="1"/>
    <col min="3074" max="3074" width="8.7109375" style="94" customWidth="1"/>
    <col min="3075" max="3076" width="10.7109375" style="94" customWidth="1"/>
    <col min="3077" max="3077" width="10.85546875" style="94" customWidth="1"/>
    <col min="3078" max="3079" width="10.42578125" style="94" customWidth="1"/>
    <col min="3080" max="3327" width="11.42578125" style="94"/>
    <col min="3328" max="3328" width="4.5703125" style="94" customWidth="1"/>
    <col min="3329" max="3329" width="70.7109375" style="94" customWidth="1"/>
    <col min="3330" max="3330" width="8.7109375" style="94" customWidth="1"/>
    <col min="3331" max="3332" width="10.7109375" style="94" customWidth="1"/>
    <col min="3333" max="3333" width="10.85546875" style="94" customWidth="1"/>
    <col min="3334" max="3335" width="10.42578125" style="94" customWidth="1"/>
    <col min="3336" max="3583" width="11.42578125" style="94"/>
    <col min="3584" max="3584" width="4.5703125" style="94" customWidth="1"/>
    <col min="3585" max="3585" width="70.7109375" style="94" customWidth="1"/>
    <col min="3586" max="3586" width="8.7109375" style="94" customWidth="1"/>
    <col min="3587" max="3588" width="10.7109375" style="94" customWidth="1"/>
    <col min="3589" max="3589" width="10.85546875" style="94" customWidth="1"/>
    <col min="3590" max="3591" width="10.42578125" style="94" customWidth="1"/>
    <col min="3592" max="3839" width="11.42578125" style="94"/>
    <col min="3840" max="3840" width="4.5703125" style="94" customWidth="1"/>
    <col min="3841" max="3841" width="70.7109375" style="94" customWidth="1"/>
    <col min="3842" max="3842" width="8.7109375" style="94" customWidth="1"/>
    <col min="3843" max="3844" width="10.7109375" style="94" customWidth="1"/>
    <col min="3845" max="3845" width="10.85546875" style="94" customWidth="1"/>
    <col min="3846" max="3847" width="10.42578125" style="94" customWidth="1"/>
    <col min="3848" max="4095" width="11.42578125" style="94"/>
    <col min="4096" max="4096" width="4.5703125" style="94" customWidth="1"/>
    <col min="4097" max="4097" width="70.7109375" style="94" customWidth="1"/>
    <col min="4098" max="4098" width="8.7109375" style="94" customWidth="1"/>
    <col min="4099" max="4100" width="10.7109375" style="94" customWidth="1"/>
    <col min="4101" max="4101" width="10.85546875" style="94" customWidth="1"/>
    <col min="4102" max="4103" width="10.42578125" style="94" customWidth="1"/>
    <col min="4104" max="4351" width="11.42578125" style="94"/>
    <col min="4352" max="4352" width="4.5703125" style="94" customWidth="1"/>
    <col min="4353" max="4353" width="70.7109375" style="94" customWidth="1"/>
    <col min="4354" max="4354" width="8.7109375" style="94" customWidth="1"/>
    <col min="4355" max="4356" width="10.7109375" style="94" customWidth="1"/>
    <col min="4357" max="4357" width="10.85546875" style="94" customWidth="1"/>
    <col min="4358" max="4359" width="10.42578125" style="94" customWidth="1"/>
    <col min="4360" max="4607" width="11.42578125" style="94"/>
    <col min="4608" max="4608" width="4.5703125" style="94" customWidth="1"/>
    <col min="4609" max="4609" width="70.7109375" style="94" customWidth="1"/>
    <col min="4610" max="4610" width="8.7109375" style="94" customWidth="1"/>
    <col min="4611" max="4612" width="10.7109375" style="94" customWidth="1"/>
    <col min="4613" max="4613" width="10.85546875" style="94" customWidth="1"/>
    <col min="4614" max="4615" width="10.42578125" style="94" customWidth="1"/>
    <col min="4616" max="4863" width="11.42578125" style="94"/>
    <col min="4864" max="4864" width="4.5703125" style="94" customWidth="1"/>
    <col min="4865" max="4865" width="70.7109375" style="94" customWidth="1"/>
    <col min="4866" max="4866" width="8.7109375" style="94" customWidth="1"/>
    <col min="4867" max="4868" width="10.7109375" style="94" customWidth="1"/>
    <col min="4869" max="4869" width="10.85546875" style="94" customWidth="1"/>
    <col min="4870" max="4871" width="10.42578125" style="94" customWidth="1"/>
    <col min="4872" max="5119" width="11.42578125" style="94"/>
    <col min="5120" max="5120" width="4.5703125" style="94" customWidth="1"/>
    <col min="5121" max="5121" width="70.7109375" style="94" customWidth="1"/>
    <col min="5122" max="5122" width="8.7109375" style="94" customWidth="1"/>
    <col min="5123" max="5124" width="10.7109375" style="94" customWidth="1"/>
    <col min="5125" max="5125" width="10.85546875" style="94" customWidth="1"/>
    <col min="5126" max="5127" width="10.42578125" style="94" customWidth="1"/>
    <col min="5128" max="5375" width="11.42578125" style="94"/>
    <col min="5376" max="5376" width="4.5703125" style="94" customWidth="1"/>
    <col min="5377" max="5377" width="70.7109375" style="94" customWidth="1"/>
    <col min="5378" max="5378" width="8.7109375" style="94" customWidth="1"/>
    <col min="5379" max="5380" width="10.7109375" style="94" customWidth="1"/>
    <col min="5381" max="5381" width="10.85546875" style="94" customWidth="1"/>
    <col min="5382" max="5383" width="10.42578125" style="94" customWidth="1"/>
    <col min="5384" max="5631" width="11.42578125" style="94"/>
    <col min="5632" max="5632" width="4.5703125" style="94" customWidth="1"/>
    <col min="5633" max="5633" width="70.7109375" style="94" customWidth="1"/>
    <col min="5634" max="5634" width="8.7109375" style="94" customWidth="1"/>
    <col min="5635" max="5636" width="10.7109375" style="94" customWidth="1"/>
    <col min="5637" max="5637" width="10.85546875" style="94" customWidth="1"/>
    <col min="5638" max="5639" width="10.42578125" style="94" customWidth="1"/>
    <col min="5640" max="5887" width="11.42578125" style="94"/>
    <col min="5888" max="5888" width="4.5703125" style="94" customWidth="1"/>
    <col min="5889" max="5889" width="70.7109375" style="94" customWidth="1"/>
    <col min="5890" max="5890" width="8.7109375" style="94" customWidth="1"/>
    <col min="5891" max="5892" width="10.7109375" style="94" customWidth="1"/>
    <col min="5893" max="5893" width="10.85546875" style="94" customWidth="1"/>
    <col min="5894" max="5895" width="10.42578125" style="94" customWidth="1"/>
    <col min="5896" max="6143" width="11.42578125" style="94"/>
    <col min="6144" max="6144" width="4.5703125" style="94" customWidth="1"/>
    <col min="6145" max="6145" width="70.7109375" style="94" customWidth="1"/>
    <col min="6146" max="6146" width="8.7109375" style="94" customWidth="1"/>
    <col min="6147" max="6148" width="10.7109375" style="94" customWidth="1"/>
    <col min="6149" max="6149" width="10.85546875" style="94" customWidth="1"/>
    <col min="6150" max="6151" width="10.42578125" style="94" customWidth="1"/>
    <col min="6152" max="6399" width="11.42578125" style="94"/>
    <col min="6400" max="6400" width="4.5703125" style="94" customWidth="1"/>
    <col min="6401" max="6401" width="70.7109375" style="94" customWidth="1"/>
    <col min="6402" max="6402" width="8.7109375" style="94" customWidth="1"/>
    <col min="6403" max="6404" width="10.7109375" style="94" customWidth="1"/>
    <col min="6405" max="6405" width="10.85546875" style="94" customWidth="1"/>
    <col min="6406" max="6407" width="10.42578125" style="94" customWidth="1"/>
    <col min="6408" max="6655" width="11.42578125" style="94"/>
    <col min="6656" max="6656" width="4.5703125" style="94" customWidth="1"/>
    <col min="6657" max="6657" width="70.7109375" style="94" customWidth="1"/>
    <col min="6658" max="6658" width="8.7109375" style="94" customWidth="1"/>
    <col min="6659" max="6660" width="10.7109375" style="94" customWidth="1"/>
    <col min="6661" max="6661" width="10.85546875" style="94" customWidth="1"/>
    <col min="6662" max="6663" width="10.42578125" style="94" customWidth="1"/>
    <col min="6664" max="6911" width="11.42578125" style="94"/>
    <col min="6912" max="6912" width="4.5703125" style="94" customWidth="1"/>
    <col min="6913" max="6913" width="70.7109375" style="94" customWidth="1"/>
    <col min="6914" max="6914" width="8.7109375" style="94" customWidth="1"/>
    <col min="6915" max="6916" width="10.7109375" style="94" customWidth="1"/>
    <col min="6917" max="6917" width="10.85546875" style="94" customWidth="1"/>
    <col min="6918" max="6919" width="10.42578125" style="94" customWidth="1"/>
    <col min="6920" max="7167" width="11.42578125" style="94"/>
    <col min="7168" max="7168" width="4.5703125" style="94" customWidth="1"/>
    <col min="7169" max="7169" width="70.7109375" style="94" customWidth="1"/>
    <col min="7170" max="7170" width="8.7109375" style="94" customWidth="1"/>
    <col min="7171" max="7172" width="10.7109375" style="94" customWidth="1"/>
    <col min="7173" max="7173" width="10.85546875" style="94" customWidth="1"/>
    <col min="7174" max="7175" width="10.42578125" style="94" customWidth="1"/>
    <col min="7176" max="7423" width="11.42578125" style="94"/>
    <col min="7424" max="7424" width="4.5703125" style="94" customWidth="1"/>
    <col min="7425" max="7425" width="70.7109375" style="94" customWidth="1"/>
    <col min="7426" max="7426" width="8.7109375" style="94" customWidth="1"/>
    <col min="7427" max="7428" width="10.7109375" style="94" customWidth="1"/>
    <col min="7429" max="7429" width="10.85546875" style="94" customWidth="1"/>
    <col min="7430" max="7431" width="10.42578125" style="94" customWidth="1"/>
    <col min="7432" max="7679" width="11.42578125" style="94"/>
    <col min="7680" max="7680" width="4.5703125" style="94" customWidth="1"/>
    <col min="7681" max="7681" width="70.7109375" style="94" customWidth="1"/>
    <col min="7682" max="7682" width="8.7109375" style="94" customWidth="1"/>
    <col min="7683" max="7684" width="10.7109375" style="94" customWidth="1"/>
    <col min="7685" max="7685" width="10.85546875" style="94" customWidth="1"/>
    <col min="7686" max="7687" width="10.42578125" style="94" customWidth="1"/>
    <col min="7688" max="7935" width="11.42578125" style="94"/>
    <col min="7936" max="7936" width="4.5703125" style="94" customWidth="1"/>
    <col min="7937" max="7937" width="70.7109375" style="94" customWidth="1"/>
    <col min="7938" max="7938" width="8.7109375" style="94" customWidth="1"/>
    <col min="7939" max="7940" width="10.7109375" style="94" customWidth="1"/>
    <col min="7941" max="7941" width="10.85546875" style="94" customWidth="1"/>
    <col min="7942" max="7943" width="10.42578125" style="94" customWidth="1"/>
    <col min="7944" max="8191" width="11.42578125" style="94"/>
    <col min="8192" max="8192" width="4.5703125" style="94" customWidth="1"/>
    <col min="8193" max="8193" width="70.7109375" style="94" customWidth="1"/>
    <col min="8194" max="8194" width="8.7109375" style="94" customWidth="1"/>
    <col min="8195" max="8196" width="10.7109375" style="94" customWidth="1"/>
    <col min="8197" max="8197" width="10.85546875" style="94" customWidth="1"/>
    <col min="8198" max="8199" width="10.42578125" style="94" customWidth="1"/>
    <col min="8200" max="8447" width="11.42578125" style="94"/>
    <col min="8448" max="8448" width="4.5703125" style="94" customWidth="1"/>
    <col min="8449" max="8449" width="70.7109375" style="94" customWidth="1"/>
    <col min="8450" max="8450" width="8.7109375" style="94" customWidth="1"/>
    <col min="8451" max="8452" width="10.7109375" style="94" customWidth="1"/>
    <col min="8453" max="8453" width="10.85546875" style="94" customWidth="1"/>
    <col min="8454" max="8455" width="10.42578125" style="94" customWidth="1"/>
    <col min="8456" max="8703" width="11.42578125" style="94"/>
    <col min="8704" max="8704" width="4.5703125" style="94" customWidth="1"/>
    <col min="8705" max="8705" width="70.7109375" style="94" customWidth="1"/>
    <col min="8706" max="8706" width="8.7109375" style="94" customWidth="1"/>
    <col min="8707" max="8708" width="10.7109375" style="94" customWidth="1"/>
    <col min="8709" max="8709" width="10.85546875" style="94" customWidth="1"/>
    <col min="8710" max="8711" width="10.42578125" style="94" customWidth="1"/>
    <col min="8712" max="8959" width="11.42578125" style="94"/>
    <col min="8960" max="8960" width="4.5703125" style="94" customWidth="1"/>
    <col min="8961" max="8961" width="70.7109375" style="94" customWidth="1"/>
    <col min="8962" max="8962" width="8.7109375" style="94" customWidth="1"/>
    <col min="8963" max="8964" width="10.7109375" style="94" customWidth="1"/>
    <col min="8965" max="8965" width="10.85546875" style="94" customWidth="1"/>
    <col min="8966" max="8967" width="10.42578125" style="94" customWidth="1"/>
    <col min="8968" max="9215" width="11.42578125" style="94"/>
    <col min="9216" max="9216" width="4.5703125" style="94" customWidth="1"/>
    <col min="9217" max="9217" width="70.7109375" style="94" customWidth="1"/>
    <col min="9218" max="9218" width="8.7109375" style="94" customWidth="1"/>
    <col min="9219" max="9220" width="10.7109375" style="94" customWidth="1"/>
    <col min="9221" max="9221" width="10.85546875" style="94" customWidth="1"/>
    <col min="9222" max="9223" width="10.42578125" style="94" customWidth="1"/>
    <col min="9224" max="9471" width="11.42578125" style="94"/>
    <col min="9472" max="9472" width="4.5703125" style="94" customWidth="1"/>
    <col min="9473" max="9473" width="70.7109375" style="94" customWidth="1"/>
    <col min="9474" max="9474" width="8.7109375" style="94" customWidth="1"/>
    <col min="9475" max="9476" width="10.7109375" style="94" customWidth="1"/>
    <col min="9477" max="9477" width="10.85546875" style="94" customWidth="1"/>
    <col min="9478" max="9479" width="10.42578125" style="94" customWidth="1"/>
    <col min="9480" max="9727" width="11.42578125" style="94"/>
    <col min="9728" max="9728" width="4.5703125" style="94" customWidth="1"/>
    <col min="9729" max="9729" width="70.7109375" style="94" customWidth="1"/>
    <col min="9730" max="9730" width="8.7109375" style="94" customWidth="1"/>
    <col min="9731" max="9732" width="10.7109375" style="94" customWidth="1"/>
    <col min="9733" max="9733" width="10.85546875" style="94" customWidth="1"/>
    <col min="9734" max="9735" width="10.42578125" style="94" customWidth="1"/>
    <col min="9736" max="9983" width="11.42578125" style="94"/>
    <col min="9984" max="9984" width="4.5703125" style="94" customWidth="1"/>
    <col min="9985" max="9985" width="70.7109375" style="94" customWidth="1"/>
    <col min="9986" max="9986" width="8.7109375" style="94" customWidth="1"/>
    <col min="9987" max="9988" width="10.7109375" style="94" customWidth="1"/>
    <col min="9989" max="9989" width="10.85546875" style="94" customWidth="1"/>
    <col min="9990" max="9991" width="10.42578125" style="94" customWidth="1"/>
    <col min="9992" max="10239" width="11.42578125" style="94"/>
    <col min="10240" max="10240" width="4.5703125" style="94" customWidth="1"/>
    <col min="10241" max="10241" width="70.7109375" style="94" customWidth="1"/>
    <col min="10242" max="10242" width="8.7109375" style="94" customWidth="1"/>
    <col min="10243" max="10244" width="10.7109375" style="94" customWidth="1"/>
    <col min="10245" max="10245" width="10.85546875" style="94" customWidth="1"/>
    <col min="10246" max="10247" width="10.42578125" style="94" customWidth="1"/>
    <col min="10248" max="10495" width="11.42578125" style="94"/>
    <col min="10496" max="10496" width="4.5703125" style="94" customWidth="1"/>
    <col min="10497" max="10497" width="70.7109375" style="94" customWidth="1"/>
    <col min="10498" max="10498" width="8.7109375" style="94" customWidth="1"/>
    <col min="10499" max="10500" width="10.7109375" style="94" customWidth="1"/>
    <col min="10501" max="10501" width="10.85546875" style="94" customWidth="1"/>
    <col min="10502" max="10503" width="10.42578125" style="94" customWidth="1"/>
    <col min="10504" max="10751" width="11.42578125" style="94"/>
    <col min="10752" max="10752" width="4.5703125" style="94" customWidth="1"/>
    <col min="10753" max="10753" width="70.7109375" style="94" customWidth="1"/>
    <col min="10754" max="10754" width="8.7109375" style="94" customWidth="1"/>
    <col min="10755" max="10756" width="10.7109375" style="94" customWidth="1"/>
    <col min="10757" max="10757" width="10.85546875" style="94" customWidth="1"/>
    <col min="10758" max="10759" width="10.42578125" style="94" customWidth="1"/>
    <col min="10760" max="11007" width="11.42578125" style="94"/>
    <col min="11008" max="11008" width="4.5703125" style="94" customWidth="1"/>
    <col min="11009" max="11009" width="70.7109375" style="94" customWidth="1"/>
    <col min="11010" max="11010" width="8.7109375" style="94" customWidth="1"/>
    <col min="11011" max="11012" width="10.7109375" style="94" customWidth="1"/>
    <col min="11013" max="11013" width="10.85546875" style="94" customWidth="1"/>
    <col min="11014" max="11015" width="10.42578125" style="94" customWidth="1"/>
    <col min="11016" max="11263" width="11.42578125" style="94"/>
    <col min="11264" max="11264" width="4.5703125" style="94" customWidth="1"/>
    <col min="11265" max="11265" width="70.7109375" style="94" customWidth="1"/>
    <col min="11266" max="11266" width="8.7109375" style="94" customWidth="1"/>
    <col min="11267" max="11268" width="10.7109375" style="94" customWidth="1"/>
    <col min="11269" max="11269" width="10.85546875" style="94" customWidth="1"/>
    <col min="11270" max="11271" width="10.42578125" style="94" customWidth="1"/>
    <col min="11272" max="11519" width="11.42578125" style="94"/>
    <col min="11520" max="11520" width="4.5703125" style="94" customWidth="1"/>
    <col min="11521" max="11521" width="70.7109375" style="94" customWidth="1"/>
    <col min="11522" max="11522" width="8.7109375" style="94" customWidth="1"/>
    <col min="11523" max="11524" width="10.7109375" style="94" customWidth="1"/>
    <col min="11525" max="11525" width="10.85546875" style="94" customWidth="1"/>
    <col min="11526" max="11527" width="10.42578125" style="94" customWidth="1"/>
    <col min="11528" max="11775" width="11.42578125" style="94"/>
    <col min="11776" max="11776" width="4.5703125" style="94" customWidth="1"/>
    <col min="11777" max="11777" width="70.7109375" style="94" customWidth="1"/>
    <col min="11778" max="11778" width="8.7109375" style="94" customWidth="1"/>
    <col min="11779" max="11780" width="10.7109375" style="94" customWidth="1"/>
    <col min="11781" max="11781" width="10.85546875" style="94" customWidth="1"/>
    <col min="11782" max="11783" width="10.42578125" style="94" customWidth="1"/>
    <col min="11784" max="12031" width="11.42578125" style="94"/>
    <col min="12032" max="12032" width="4.5703125" style="94" customWidth="1"/>
    <col min="12033" max="12033" width="70.7109375" style="94" customWidth="1"/>
    <col min="12034" max="12034" width="8.7109375" style="94" customWidth="1"/>
    <col min="12035" max="12036" width="10.7109375" style="94" customWidth="1"/>
    <col min="12037" max="12037" width="10.85546875" style="94" customWidth="1"/>
    <col min="12038" max="12039" width="10.42578125" style="94" customWidth="1"/>
    <col min="12040" max="12287" width="11.42578125" style="94"/>
    <col min="12288" max="12288" width="4.5703125" style="94" customWidth="1"/>
    <col min="12289" max="12289" width="70.7109375" style="94" customWidth="1"/>
    <col min="12290" max="12290" width="8.7109375" style="94" customWidth="1"/>
    <col min="12291" max="12292" width="10.7109375" style="94" customWidth="1"/>
    <col min="12293" max="12293" width="10.85546875" style="94" customWidth="1"/>
    <col min="12294" max="12295" width="10.42578125" style="94" customWidth="1"/>
    <col min="12296" max="12543" width="11.42578125" style="94"/>
    <col min="12544" max="12544" width="4.5703125" style="94" customWidth="1"/>
    <col min="12545" max="12545" width="70.7109375" style="94" customWidth="1"/>
    <col min="12546" max="12546" width="8.7109375" style="94" customWidth="1"/>
    <col min="12547" max="12548" width="10.7109375" style="94" customWidth="1"/>
    <col min="12549" max="12549" width="10.85546875" style="94" customWidth="1"/>
    <col min="12550" max="12551" width="10.42578125" style="94" customWidth="1"/>
    <col min="12552" max="12799" width="11.42578125" style="94"/>
    <col min="12800" max="12800" width="4.5703125" style="94" customWidth="1"/>
    <col min="12801" max="12801" width="70.7109375" style="94" customWidth="1"/>
    <col min="12802" max="12802" width="8.7109375" style="94" customWidth="1"/>
    <col min="12803" max="12804" width="10.7109375" style="94" customWidth="1"/>
    <col min="12805" max="12805" width="10.85546875" style="94" customWidth="1"/>
    <col min="12806" max="12807" width="10.42578125" style="94" customWidth="1"/>
    <col min="12808" max="13055" width="11.42578125" style="94"/>
    <col min="13056" max="13056" width="4.5703125" style="94" customWidth="1"/>
    <col min="13057" max="13057" width="70.7109375" style="94" customWidth="1"/>
    <col min="13058" max="13058" width="8.7109375" style="94" customWidth="1"/>
    <col min="13059" max="13060" width="10.7109375" style="94" customWidth="1"/>
    <col min="13061" max="13061" width="10.85546875" style="94" customWidth="1"/>
    <col min="13062" max="13063" width="10.42578125" style="94" customWidth="1"/>
    <col min="13064" max="13311" width="11.42578125" style="94"/>
    <col min="13312" max="13312" width="4.5703125" style="94" customWidth="1"/>
    <col min="13313" max="13313" width="70.7109375" style="94" customWidth="1"/>
    <col min="13314" max="13314" width="8.7109375" style="94" customWidth="1"/>
    <col min="13315" max="13316" width="10.7109375" style="94" customWidth="1"/>
    <col min="13317" max="13317" width="10.85546875" style="94" customWidth="1"/>
    <col min="13318" max="13319" width="10.42578125" style="94" customWidth="1"/>
    <col min="13320" max="13567" width="11.42578125" style="94"/>
    <col min="13568" max="13568" width="4.5703125" style="94" customWidth="1"/>
    <col min="13569" max="13569" width="70.7109375" style="94" customWidth="1"/>
    <col min="13570" max="13570" width="8.7109375" style="94" customWidth="1"/>
    <col min="13571" max="13572" width="10.7109375" style="94" customWidth="1"/>
    <col min="13573" max="13573" width="10.85546875" style="94" customWidth="1"/>
    <col min="13574" max="13575" width="10.42578125" style="94" customWidth="1"/>
    <col min="13576" max="13823" width="11.42578125" style="94"/>
    <col min="13824" max="13824" width="4.5703125" style="94" customWidth="1"/>
    <col min="13825" max="13825" width="70.7109375" style="94" customWidth="1"/>
    <col min="13826" max="13826" width="8.7109375" style="94" customWidth="1"/>
    <col min="13827" max="13828" width="10.7109375" style="94" customWidth="1"/>
    <col min="13829" max="13829" width="10.85546875" style="94" customWidth="1"/>
    <col min="13830" max="13831" width="10.42578125" style="94" customWidth="1"/>
    <col min="13832" max="14079" width="11.42578125" style="94"/>
    <col min="14080" max="14080" width="4.5703125" style="94" customWidth="1"/>
    <col min="14081" max="14081" width="70.7109375" style="94" customWidth="1"/>
    <col min="14082" max="14082" width="8.7109375" style="94" customWidth="1"/>
    <col min="14083" max="14084" width="10.7109375" style="94" customWidth="1"/>
    <col min="14085" max="14085" width="10.85546875" style="94" customWidth="1"/>
    <col min="14086" max="14087" width="10.42578125" style="94" customWidth="1"/>
    <col min="14088" max="14335" width="11.42578125" style="94"/>
    <col min="14336" max="14336" width="4.5703125" style="94" customWidth="1"/>
    <col min="14337" max="14337" width="70.7109375" style="94" customWidth="1"/>
    <col min="14338" max="14338" width="8.7109375" style="94" customWidth="1"/>
    <col min="14339" max="14340" width="10.7109375" style="94" customWidth="1"/>
    <col min="14341" max="14341" width="10.85546875" style="94" customWidth="1"/>
    <col min="14342" max="14343" width="10.42578125" style="94" customWidth="1"/>
    <col min="14344" max="14591" width="11.42578125" style="94"/>
    <col min="14592" max="14592" width="4.5703125" style="94" customWidth="1"/>
    <col min="14593" max="14593" width="70.7109375" style="94" customWidth="1"/>
    <col min="14594" max="14594" width="8.7109375" style="94" customWidth="1"/>
    <col min="14595" max="14596" width="10.7109375" style="94" customWidth="1"/>
    <col min="14597" max="14597" width="10.85546875" style="94" customWidth="1"/>
    <col min="14598" max="14599" width="10.42578125" style="94" customWidth="1"/>
    <col min="14600" max="14847" width="11.42578125" style="94"/>
    <col min="14848" max="14848" width="4.5703125" style="94" customWidth="1"/>
    <col min="14849" max="14849" width="70.7109375" style="94" customWidth="1"/>
    <col min="14850" max="14850" width="8.7109375" style="94" customWidth="1"/>
    <col min="14851" max="14852" width="10.7109375" style="94" customWidth="1"/>
    <col min="14853" max="14853" width="10.85546875" style="94" customWidth="1"/>
    <col min="14854" max="14855" width="10.42578125" style="94" customWidth="1"/>
    <col min="14856" max="15103" width="11.42578125" style="94"/>
    <col min="15104" max="15104" width="4.5703125" style="94" customWidth="1"/>
    <col min="15105" max="15105" width="70.7109375" style="94" customWidth="1"/>
    <col min="15106" max="15106" width="8.7109375" style="94" customWidth="1"/>
    <col min="15107" max="15108" width="10.7109375" style="94" customWidth="1"/>
    <col min="15109" max="15109" width="10.85546875" style="94" customWidth="1"/>
    <col min="15110" max="15111" width="10.42578125" style="94" customWidth="1"/>
    <col min="15112" max="15359" width="11.42578125" style="94"/>
    <col min="15360" max="15360" width="4.5703125" style="94" customWidth="1"/>
    <col min="15361" max="15361" width="70.7109375" style="94" customWidth="1"/>
    <col min="15362" max="15362" width="8.7109375" style="94" customWidth="1"/>
    <col min="15363" max="15364" width="10.7109375" style="94" customWidth="1"/>
    <col min="15365" max="15365" width="10.85546875" style="94" customWidth="1"/>
    <col min="15366" max="15367" width="10.42578125" style="94" customWidth="1"/>
    <col min="15368" max="15615" width="11.42578125" style="94"/>
    <col min="15616" max="15616" width="4.5703125" style="94" customWidth="1"/>
    <col min="15617" max="15617" width="70.7109375" style="94" customWidth="1"/>
    <col min="15618" max="15618" width="8.7109375" style="94" customWidth="1"/>
    <col min="15619" max="15620" width="10.7109375" style="94" customWidth="1"/>
    <col min="15621" max="15621" width="10.85546875" style="94" customWidth="1"/>
    <col min="15622" max="15623" width="10.42578125" style="94" customWidth="1"/>
    <col min="15624" max="15871" width="11.42578125" style="94"/>
    <col min="15872" max="15872" width="4.5703125" style="94" customWidth="1"/>
    <col min="15873" max="15873" width="70.7109375" style="94" customWidth="1"/>
    <col min="15874" max="15874" width="8.7109375" style="94" customWidth="1"/>
    <col min="15875" max="15876" width="10.7109375" style="94" customWidth="1"/>
    <col min="15877" max="15877" width="10.85546875" style="94" customWidth="1"/>
    <col min="15878" max="15879" width="10.42578125" style="94" customWidth="1"/>
    <col min="15880" max="16127" width="11.42578125" style="94"/>
    <col min="16128" max="16128" width="4.5703125" style="94" customWidth="1"/>
    <col min="16129" max="16129" width="70.7109375" style="94" customWidth="1"/>
    <col min="16130" max="16130" width="8.7109375" style="94" customWidth="1"/>
    <col min="16131" max="16132" width="10.7109375" style="94" customWidth="1"/>
    <col min="16133" max="16133" width="10.85546875" style="94" customWidth="1"/>
    <col min="16134" max="16135" width="10.42578125" style="94" customWidth="1"/>
    <col min="16136" max="16384" width="11.42578125" style="94"/>
  </cols>
  <sheetData>
    <row r="1" spans="1:12" ht="13.5">
      <c r="I1" s="388"/>
      <c r="J1" s="51" t="str">
        <f>'18. OK'!J1</f>
        <v>Приложение № 6</v>
      </c>
    </row>
    <row r="2" spans="1:12" s="70" customFormat="1" ht="14.25" customHeight="1">
      <c r="A2" s="3638" t="s">
        <v>749</v>
      </c>
      <c r="B2" s="3638"/>
      <c r="C2" s="3638"/>
      <c r="D2" s="3638"/>
      <c r="E2" s="3638"/>
      <c r="F2" s="3638"/>
      <c r="G2" s="3638"/>
      <c r="H2" s="3638"/>
      <c r="I2" s="3638"/>
      <c r="J2" s="3638"/>
    </row>
    <row r="3" spans="1:12" s="93" customFormat="1" ht="18.75">
      <c r="A3" s="3639" t="s">
        <v>1422</v>
      </c>
      <c r="B3" s="3639"/>
      <c r="C3" s="3639"/>
      <c r="D3" s="3639"/>
      <c r="E3" s="3639"/>
      <c r="F3" s="3639"/>
      <c r="G3" s="3639"/>
      <c r="H3" s="3639"/>
      <c r="I3" s="3639"/>
      <c r="J3" s="3639"/>
    </row>
    <row r="4" spans="1:12" ht="14.25" customHeight="1">
      <c r="A4" s="3640" t="str">
        <f>'1. Анкетна карта'!A3:J3</f>
        <v>на "Водоснабдяване и канализация" ООД , гр. Враца</v>
      </c>
      <c r="B4" s="3640"/>
      <c r="C4" s="3640"/>
      <c r="D4" s="3640"/>
      <c r="E4" s="3640"/>
      <c r="F4" s="3640"/>
      <c r="G4" s="3640"/>
      <c r="H4" s="3640"/>
      <c r="I4" s="3640"/>
      <c r="J4" s="3640"/>
    </row>
    <row r="5" spans="1:12" ht="19.5" customHeight="1">
      <c r="A5" s="3640" t="str">
        <f>'1. Анкетна карта'!A4:J4</f>
        <v>ЕИК по БУЛСТАТ: 816090199</v>
      </c>
      <c r="B5" s="3640"/>
      <c r="C5" s="3640"/>
      <c r="D5" s="3640"/>
      <c r="E5" s="3640"/>
      <c r="F5" s="3640"/>
      <c r="G5" s="3640"/>
      <c r="H5" s="3640"/>
      <c r="I5" s="3640"/>
      <c r="J5" s="3640"/>
    </row>
    <row r="6" spans="1:12" s="97" customFormat="1" ht="15.75" customHeight="1">
      <c r="A6" s="95"/>
      <c r="B6" s="95"/>
      <c r="C6" s="95"/>
      <c r="D6" s="95"/>
      <c r="E6" s="95"/>
      <c r="F6" s="96"/>
      <c r="G6" s="96"/>
      <c r="H6" s="96"/>
    </row>
    <row r="7" spans="1:12" s="97" customFormat="1" ht="15.75" customHeight="1">
      <c r="A7" s="95"/>
      <c r="B7" s="95"/>
      <c r="C7" s="95"/>
      <c r="D7" s="95"/>
      <c r="E7" s="95"/>
      <c r="F7" s="96"/>
      <c r="G7" s="96"/>
      <c r="H7" s="96"/>
    </row>
    <row r="8" spans="1:12" s="97" customFormat="1" ht="15.75" customHeight="1">
      <c r="A8" s="95"/>
      <c r="B8" s="95" t="s">
        <v>1466</v>
      </c>
      <c r="C8" s="1507" t="s">
        <v>1574</v>
      </c>
      <c r="D8" s="95"/>
      <c r="E8" s="95"/>
      <c r="F8" s="96"/>
      <c r="G8" s="96"/>
      <c r="H8" s="96"/>
    </row>
    <row r="9" spans="1:12" s="97" customFormat="1" ht="35.25" customHeight="1">
      <c r="A9" s="95"/>
      <c r="B9" s="1506" t="s">
        <v>1465</v>
      </c>
      <c r="C9" s="1507" t="s">
        <v>1575</v>
      </c>
      <c r="D9" s="95"/>
      <c r="E9" s="95"/>
      <c r="F9" s="96"/>
      <c r="G9" s="96"/>
      <c r="H9" s="96"/>
    </row>
    <row r="10" spans="1:12" s="97" customFormat="1" ht="15.75" customHeight="1">
      <c r="A10" s="95"/>
      <c r="B10" s="95"/>
      <c r="C10" s="95"/>
      <c r="D10" s="95"/>
      <c r="E10" s="95"/>
      <c r="F10" s="96"/>
      <c r="G10" s="96"/>
      <c r="H10" s="96"/>
    </row>
    <row r="11" spans="1:12" s="97" customFormat="1" ht="15.75" customHeight="1" thickBot="1">
      <c r="A11" s="95"/>
      <c r="B11" s="95"/>
      <c r="C11" s="95"/>
      <c r="D11" s="95"/>
      <c r="E11" s="95"/>
      <c r="F11" s="96"/>
      <c r="G11" s="96"/>
      <c r="H11" s="96"/>
    </row>
    <row r="12" spans="1:12" s="97" customFormat="1" ht="26.25" customHeight="1" thickBot="1">
      <c r="A12" s="2174" t="s">
        <v>1</v>
      </c>
      <c r="B12" s="2175" t="s">
        <v>95</v>
      </c>
      <c r="C12" s="2176" t="s">
        <v>222</v>
      </c>
      <c r="D12" s="2177" t="str">
        <f>'Приложение '!$G12</f>
        <v>2015 г.</v>
      </c>
      <c r="E12" s="2177" t="str">
        <f>'Приложение '!$G13</f>
        <v>2016 г.</v>
      </c>
      <c r="F12" s="2177" t="str">
        <f>'Приложение '!$G14</f>
        <v>2017 г.</v>
      </c>
      <c r="G12" s="2177" t="str">
        <f>'Приложение '!$G15</f>
        <v>2018 г.</v>
      </c>
      <c r="H12" s="2177" t="str">
        <f>'Приложение '!$G16</f>
        <v>2019 г.</v>
      </c>
      <c r="I12" s="2177" t="str">
        <f>'Приложение '!$G17</f>
        <v>2020 г.</v>
      </c>
      <c r="J12" s="2178" t="str">
        <f>'Приложение '!$G18</f>
        <v>2021 г.</v>
      </c>
    </row>
    <row r="13" spans="1:12" s="97" customFormat="1" ht="15" customHeight="1">
      <c r="A13" s="2171">
        <v>1</v>
      </c>
      <c r="B13" s="2172" t="s">
        <v>1464</v>
      </c>
      <c r="C13" s="2173" t="s">
        <v>391</v>
      </c>
      <c r="D13" s="2515">
        <f>IF(AND($C$8="ДА",$C$9="ДА"),D15,D14)</f>
        <v>23106</v>
      </c>
      <c r="E13" s="2515">
        <f t="shared" ref="E13:J13" si="0">IF(AND($C$8="ДА",$C$9="ДА"),E15,E14)</f>
        <v>23174</v>
      </c>
      <c r="F13" s="2515">
        <f t="shared" si="0"/>
        <v>12482</v>
      </c>
      <c r="G13" s="2515">
        <f t="shared" si="0"/>
        <v>12482</v>
      </c>
      <c r="H13" s="2515">
        <f t="shared" si="0"/>
        <v>12482</v>
      </c>
      <c r="I13" s="2515">
        <f t="shared" si="0"/>
        <v>12482</v>
      </c>
      <c r="J13" s="2516">
        <f t="shared" si="0"/>
        <v>12482</v>
      </c>
      <c r="K13" s="1508"/>
      <c r="L13" s="1508"/>
    </row>
    <row r="14" spans="1:12" s="97" customFormat="1" ht="15" customHeight="1">
      <c r="A14" s="1180">
        <v>1.1000000000000001</v>
      </c>
      <c r="B14" s="1122" t="s">
        <v>390</v>
      </c>
      <c r="C14" s="1123"/>
      <c r="D14" s="782">
        <v>23106</v>
      </c>
      <c r="E14" s="782">
        <v>23174</v>
      </c>
      <c r="F14" s="782">
        <v>12482</v>
      </c>
      <c r="G14" s="782">
        <v>12482</v>
      </c>
      <c r="H14" s="782">
        <v>12482</v>
      </c>
      <c r="I14" s="782">
        <v>12482</v>
      </c>
      <c r="J14" s="782">
        <v>12482</v>
      </c>
      <c r="K14" s="1495"/>
      <c r="L14" s="129"/>
    </row>
    <row r="15" spans="1:12" s="97" customFormat="1" ht="15" customHeight="1">
      <c r="A15" s="1180">
        <v>1.2</v>
      </c>
      <c r="B15" s="1122" t="s">
        <v>920</v>
      </c>
      <c r="C15" s="1123"/>
      <c r="D15" s="3029">
        <f>D14</f>
        <v>23106</v>
      </c>
      <c r="E15" s="3029">
        <f>E14</f>
        <v>23174</v>
      </c>
      <c r="F15" s="3029">
        <f>'17. РБА'!E11+'17. РБА'!L11+'17. РБА'!S11+'9.Инвестиционна програма'!O69+'9.Инвестиционна програма'!O70</f>
        <v>20702</v>
      </c>
      <c r="G15" s="3029">
        <f>'17. РБА'!F11+'17. РБА'!M11+'17. РБА'!T11+'9.Инвестиционна програма'!P69+'9.Инвестиционна програма'!P70</f>
        <v>22333.000000000004</v>
      </c>
      <c r="H15" s="3029">
        <f>'17. РБА'!G11+'17. РБА'!N11+'17. РБА'!U11+'9.Инвестиционна програма'!Q69+'9.Инвестиционна програма'!Q70</f>
        <v>23540</v>
      </c>
      <c r="I15" s="3029">
        <f>'17. РБА'!H11+'17. РБА'!O11+'17. РБА'!V11+'9.Инвестиционна програма'!R69+'9.Инвестиционна програма'!R70</f>
        <v>24681</v>
      </c>
      <c r="J15" s="3120">
        <f>'17. РБА'!I11+'17. РБА'!P11+'17. РБА'!W11+'9.Инвестиционна програма'!S69+'9.Инвестиционна програма'!S70</f>
        <v>25779</v>
      </c>
      <c r="K15" s="1495"/>
      <c r="L15" s="129"/>
    </row>
    <row r="16" spans="1:12" s="97" customFormat="1" ht="15" customHeight="1">
      <c r="A16" s="1180">
        <v>2</v>
      </c>
      <c r="B16" s="1122" t="s">
        <v>392</v>
      </c>
      <c r="C16" s="1123" t="s">
        <v>391</v>
      </c>
      <c r="D16" s="1124">
        <f t="shared" ref="D16:J16" si="1">D17+D19+D21</f>
        <v>0</v>
      </c>
      <c r="E16" s="1124">
        <f t="shared" si="1"/>
        <v>0</v>
      </c>
      <c r="F16" s="1124">
        <f t="shared" si="1"/>
        <v>0</v>
      </c>
      <c r="G16" s="1124">
        <f t="shared" si="1"/>
        <v>0</v>
      </c>
      <c r="H16" s="1124">
        <f t="shared" si="1"/>
        <v>0</v>
      </c>
      <c r="I16" s="1124">
        <f t="shared" si="1"/>
        <v>0</v>
      </c>
      <c r="J16" s="1125">
        <f t="shared" si="1"/>
        <v>0</v>
      </c>
    </row>
    <row r="17" spans="1:13" s="97" customFormat="1" ht="15" customHeight="1">
      <c r="A17" s="1181" t="s">
        <v>105</v>
      </c>
      <c r="B17" s="1126" t="s">
        <v>410</v>
      </c>
      <c r="C17" s="1127" t="s">
        <v>391</v>
      </c>
      <c r="D17" s="3121">
        <f>('10. Финансиране на ИП'!C36+'10. Финансиране на ИП'!C42)/2+('10. Финансиране на ИП'!J36+'10. Финансиране на ИП'!J42)/2+('10. Финансиране на ИП'!Q36+'10. Финансиране на ИП'!Q42)/2+('10. Финансиране на ИП'!C48+'10. Финансиране на ИП'!C54)/2+('10. Финансиране на ИП'!J48+'10. Финансиране на ИП'!J54)/2+('10. Финансиране на ИП'!C60+'10. Финансиране на ИП'!C66)/2+('10. Финансиране на ИП'!J60+'10. Финансиране на ИП'!J66)/2</f>
        <v>0</v>
      </c>
      <c r="E17" s="3121">
        <f>('10. Финансиране на ИП'!D36+'10. Финансиране на ИП'!D42)/2+('10. Финансиране на ИП'!K36+'10. Финансиране на ИП'!K42)/2+('10. Финансиране на ИП'!R36+'10. Финансиране на ИП'!R42)/2+('10. Финансиране на ИП'!D48+'10. Финансиране на ИП'!D54)/2+('10. Финансиране на ИП'!K48+'10. Финансиране на ИП'!K54)/2+('10. Финансиране на ИП'!D60+'10. Финансиране на ИП'!D66)/2+('10. Финансиране на ИП'!K60+'10. Финансиране на ИП'!K66)/2</f>
        <v>0</v>
      </c>
      <c r="F17" s="3121">
        <f>('10. Финансиране на ИП'!E36+'10. Финансиране на ИП'!E42)/2+('10. Финансиране на ИП'!L36+'10. Финансиране на ИП'!L42)/2+('10. Финансиране на ИП'!S36+'10. Финансиране на ИП'!S42)/2+('10. Финансиране на ИП'!E48+'10. Финансиране на ИП'!E54)/2+('10. Финансиране на ИП'!L48+'10. Финансиране на ИП'!L54)/2+('10. Финансиране на ИП'!E60+'10. Финансиране на ИП'!E66)/2+('10. Финансиране на ИП'!L60+'10. Финансиране на ИП'!L66)/2</f>
        <v>0</v>
      </c>
      <c r="G17" s="3121">
        <f>('10. Финансиране на ИП'!F36+'10. Финансиране на ИП'!F42)/2+('10. Финансиране на ИП'!M36+'10. Финансиране на ИП'!M42)/2+('10. Финансиране на ИП'!T36+'10. Финансиране на ИП'!T42)/2+('10. Финансиране на ИП'!F48+'10. Финансиране на ИП'!F54)/2+('10. Финансиране на ИП'!M48+'10. Финансиране на ИП'!M54)/2+('10. Финансиране на ИП'!F60+'10. Финансиране на ИП'!F66)/2+('10. Финансиране на ИП'!M60+'10. Финансиране на ИП'!M66)/2</f>
        <v>0</v>
      </c>
      <c r="H17" s="3121">
        <f>('10. Финансиране на ИП'!G36+'10. Финансиране на ИП'!G42)/2+('10. Финансиране на ИП'!N36+'10. Финансиране на ИП'!N42)/2+('10. Финансиране на ИП'!U36+'10. Финансиране на ИП'!U42)/2+('10. Финансиране на ИП'!G48+'10. Финансиране на ИП'!G54)/2+('10. Финансиране на ИП'!N48+'10. Финансиране на ИП'!N54)/2+('10. Финансиране на ИП'!G60+'10. Финансиране на ИП'!G66)/2+('10. Финансиране на ИП'!N60+'10. Финансиране на ИП'!N66)/2</f>
        <v>0</v>
      </c>
      <c r="I17" s="3121">
        <f>('10. Финансиране на ИП'!H36+'10. Финансиране на ИП'!H42)/2+('10. Финансиране на ИП'!O36+'10. Финансиране на ИП'!O42)/2+('10. Финансиране на ИП'!V36+'10. Финансиране на ИП'!V42)/2+('10. Финансиране на ИП'!H48+'10. Финансиране на ИП'!H54)/2+('10. Финансиране на ИП'!O48+'10. Финансиране на ИП'!O54)/2+('10. Финансиране на ИП'!H60+'10. Финансиране на ИП'!H66)/2+('10. Финансиране на ИП'!O60+'10. Финансиране на ИП'!O66)/2</f>
        <v>0</v>
      </c>
      <c r="J17" s="3122">
        <f>('10. Финансиране на ИП'!I36+'10. Финансиране на ИП'!I42)/2+('10. Финансиране на ИП'!P36+'10. Финансиране на ИП'!P42)/2+('10. Финансиране на ИП'!W36+'10. Финансиране на ИП'!W42)/2+('10. Финансиране на ИП'!I48+'10. Финансиране на ИП'!I54)/2+('10. Финансиране на ИП'!P48+'10. Финансиране на ИП'!P54)/2+('10. Финансиране на ИП'!I60+'10. Финансиране на ИП'!I66)/2+('10. Финансиране на ИП'!P60+'10. Финансиране на ИП'!P66)/2</f>
        <v>0</v>
      </c>
    </row>
    <row r="18" spans="1:13" s="97" customFormat="1" ht="15" customHeight="1">
      <c r="A18" s="1181" t="s">
        <v>107</v>
      </c>
      <c r="B18" s="1128" t="s">
        <v>393</v>
      </c>
      <c r="C18" s="1127" t="s">
        <v>226</v>
      </c>
      <c r="D18" s="3068" t="e">
        <f>(('10. Финансиране на ИП'!C36+'10. Финансиране на ИП'!C42)/2)/'19. HB'!D17*'10. Финансиране на ИП'!C40+(('10. Финансиране на ИП'!J36+'10. Финансиране на ИП'!J42)/2)/'19. HB'!D17*'10. Финансиране на ИП'!J40+(('10. Финансиране на ИП'!Q36+'10. Финансиране на ИП'!Q42)/2)/'19. HB'!D17*'10. Финансиране на ИП'!Q40+(('10. Финансиране на ИП'!C48+'10. Финансиране на ИП'!C54)/2)/'19. HB'!D17*'10. Финансиране на ИП'!C52+(('10. Финансиране на ИП'!J48+'10. Финансиране на ИП'!J54)/2)/'19. HB'!D17*'10. Финансиране на ИП'!J52+(('10. Финансиране на ИП'!C60+'10. Финансиране на ИП'!C66)/2)/'19. HB'!D17*'10. Финансиране на ИП'!C64+(('10. Финансиране на ИП'!J60+'10. Финансиране на ИП'!J66)/2)/'19. HB'!D17*'10. Финансиране на ИП'!J64</f>
        <v>#DIV/0!</v>
      </c>
      <c r="E18" s="3068" t="e">
        <f>(('10. Финансиране на ИП'!D36+'10. Финансиране на ИП'!D42)/2)/'19. HB'!E17*'10. Финансиране на ИП'!D40+(('10. Финансиране на ИП'!K36+'10. Финансиране на ИП'!K42)/2)/'19. HB'!E17*'10. Финансиране на ИП'!K40+(('10. Финансиране на ИП'!R36+'10. Финансиране на ИП'!R42)/2)/'19. HB'!E17*'10. Финансиране на ИП'!R40+(('10. Финансиране на ИП'!D48+'10. Финансиране на ИП'!D54)/2)/'19. HB'!E17*'10. Финансиране на ИП'!D52+(('10. Финансиране на ИП'!K48+'10. Финансиране на ИП'!K54)/2)/'19. HB'!E17*'10. Финансиране на ИП'!K52+(('10. Финансиране на ИП'!D60+'10. Финансиране на ИП'!D66)/2)/'19. HB'!E17*'10. Финансиране на ИП'!D64+(('10. Финансиране на ИП'!K60+'10. Финансиране на ИП'!K66)/2)/'19. HB'!E17*'10. Финансиране на ИП'!K64</f>
        <v>#DIV/0!</v>
      </c>
      <c r="F18" s="3068" t="e">
        <f>(('10. Финансиране на ИП'!E36+'10. Финансиране на ИП'!E42)/2)/'19. HB'!F17*'10. Финансиране на ИП'!E40+(('10. Финансиране на ИП'!L36+'10. Финансиране на ИП'!L42)/2)/'19. HB'!F17*'10. Финансиране на ИП'!L40+(('10. Финансиране на ИП'!S36+'10. Финансиране на ИП'!S42)/2)/'19. HB'!F17*'10. Финансиране на ИП'!S40+(('10. Финансиране на ИП'!E48+'10. Финансиране на ИП'!E54)/2)/'19. HB'!F17*'10. Финансиране на ИП'!E52+(('10. Финансиране на ИП'!L48+'10. Финансиране на ИП'!L54)/2)/'19. HB'!F17*'10. Финансиране на ИП'!L52+(('10. Финансиране на ИП'!E60+'10. Финансиране на ИП'!E66)/2)/'19. HB'!F17*'10. Финансиране на ИП'!E64+(('10. Финансиране на ИП'!L60+'10. Финансиране на ИП'!L66)/2)/'19. HB'!F17*'10. Финансиране на ИП'!L64</f>
        <v>#DIV/0!</v>
      </c>
      <c r="G18" s="3068" t="e">
        <f>(('10. Финансиране на ИП'!F36+'10. Финансиране на ИП'!F42)/2)/'19. HB'!G17*'10. Финансиране на ИП'!F40+(('10. Финансиране на ИП'!M36+'10. Финансиране на ИП'!M42)/2)/'19. HB'!G17*'10. Финансиране на ИП'!M40+(('10. Финансиране на ИП'!T36+'10. Финансиране на ИП'!T42)/2)/'19. HB'!G17*'10. Финансиране на ИП'!T40+(('10. Финансиране на ИП'!F48+'10. Финансиране на ИП'!F54)/2)/'19. HB'!G17*'10. Финансиране на ИП'!F52+(('10. Финансиране на ИП'!M48+'10. Финансиране на ИП'!M54)/2)/'19. HB'!G17*'10. Финансиране на ИП'!M52+(('10. Финансиране на ИП'!F60+'10. Финансиране на ИП'!F66)/2)/'19. HB'!G17*'10. Финансиране на ИП'!F64+(('10. Финансиране на ИП'!M60+'10. Финансиране на ИП'!M66)/2)/'19. HB'!G17*'10. Финансиране на ИП'!M64</f>
        <v>#DIV/0!</v>
      </c>
      <c r="H18" s="3068" t="e">
        <f>(('10. Финансиране на ИП'!G36+'10. Финансиране на ИП'!G42)/2)/'19. HB'!H17*'10. Финансиране на ИП'!G40+(('10. Финансиране на ИП'!N36+'10. Финансиране на ИП'!N42)/2)/'19. HB'!H17*'10. Финансиране на ИП'!N40+(('10. Финансиране на ИП'!U36+'10. Финансиране на ИП'!U42)/2)/'19. HB'!H17*'10. Финансиране на ИП'!U40+(('10. Финансиране на ИП'!G48+'10. Финансиране на ИП'!G54)/2)/'19. HB'!H17*'10. Финансиране на ИП'!G52+(('10. Финансиране на ИП'!N48+'10. Финансиране на ИП'!N54)/2)/'19. HB'!H17*'10. Финансиране на ИП'!N52+(('10. Финансиране на ИП'!G60+'10. Финансиране на ИП'!G66)/2)/'19. HB'!H17*'10. Финансиране на ИП'!G64+(('10. Финансиране на ИП'!N60+'10. Финансиране на ИП'!N66)/2)/'19. HB'!H17*'10. Финансиране на ИП'!N64</f>
        <v>#DIV/0!</v>
      </c>
      <c r="I18" s="3068" t="e">
        <f>(('10. Финансиране на ИП'!H36+'10. Финансиране на ИП'!H42)/2)/'19. HB'!I17*'10. Финансиране на ИП'!H40+(('10. Финансиране на ИП'!O36+'10. Финансиране на ИП'!O42)/2)/'19. HB'!I17*'10. Финансиране на ИП'!O40+(('10. Финансиране на ИП'!V36+'10. Финансиране на ИП'!V42)/2)/'19. HB'!I17*'10. Финансиране на ИП'!V40+(('10. Финансиране на ИП'!H48+'10. Финансиране на ИП'!H54)/2)/'19. HB'!I17*'10. Финансиране на ИП'!H52+(('10. Финансиране на ИП'!O48+'10. Финансиране на ИП'!O54)/2)/'19. HB'!I17*'10. Финансиране на ИП'!O52+(('10. Финансиране на ИП'!H60+'10. Финансиране на ИП'!H66)/2)/'19. HB'!I17*'10. Финансиране на ИП'!H64+(('10. Финансиране на ИП'!O60+'10. Финансиране на ИП'!O66)/2)/'19. HB'!I17*'10. Финансиране на ИП'!O64</f>
        <v>#DIV/0!</v>
      </c>
      <c r="J18" s="3069" t="e">
        <f>(('10. Финансиране на ИП'!I36+'10. Финансиране на ИП'!I42)/2)/'19. HB'!J17*'10. Финансиране на ИП'!I40+(('10. Финансиране на ИП'!P36+'10. Финансиране на ИП'!P42)/2)/'19. HB'!J17*'10. Финансиране на ИП'!P40+(('10. Финансиране на ИП'!W36+'10. Финансиране на ИП'!W42)/2)/'19. HB'!J17*'10. Финансиране на ИП'!W40+(('10. Финансиране на ИП'!I48+'10. Финансиране на ИП'!I54)/2)/'19. HB'!J17*'10. Финансиране на ИП'!I52+(('10. Финансиране на ИП'!P48+'10. Финансиране на ИП'!P54)/2)/'19. HB'!J17*'10. Финансиране на ИП'!P52+(('10. Финансиране на ИП'!I60+'10. Финансиране на ИП'!I66)/2)/'19. HB'!J17*'10. Финансиране на ИП'!I64+(('10. Финансиране на ИП'!P60+'10. Финансиране на ИП'!P66)/2)/'19. HB'!J17*'10. Финансиране на ИП'!P64</f>
        <v>#DIV/0!</v>
      </c>
    </row>
    <row r="19" spans="1:13" s="97" customFormat="1" ht="15" customHeight="1">
      <c r="A19" s="1181" t="s">
        <v>225</v>
      </c>
      <c r="B19" s="1128" t="s">
        <v>394</v>
      </c>
      <c r="C19" s="2179" t="s">
        <v>391</v>
      </c>
      <c r="D19" s="782">
        <v>0</v>
      </c>
      <c r="E19" s="782">
        <v>0</v>
      </c>
      <c r="F19" s="782">
        <v>0</v>
      </c>
      <c r="G19" s="782">
        <v>0</v>
      </c>
      <c r="H19" s="782">
        <v>0</v>
      </c>
      <c r="I19" s="782">
        <v>0</v>
      </c>
      <c r="J19" s="782">
        <v>0</v>
      </c>
    </row>
    <row r="20" spans="1:13" s="97" customFormat="1" ht="15" customHeight="1">
      <c r="A20" s="1181" t="s">
        <v>306</v>
      </c>
      <c r="B20" s="1128" t="s">
        <v>395</v>
      </c>
      <c r="C20" s="1127" t="s">
        <v>226</v>
      </c>
      <c r="D20" s="3059">
        <v>0</v>
      </c>
      <c r="E20" s="3059">
        <v>0</v>
      </c>
      <c r="F20" s="3059">
        <v>0</v>
      </c>
      <c r="G20" s="3059">
        <v>0</v>
      </c>
      <c r="H20" s="3059">
        <v>0</v>
      </c>
      <c r="I20" s="3059">
        <v>0</v>
      </c>
      <c r="J20" s="3059">
        <v>0</v>
      </c>
    </row>
    <row r="21" spans="1:13" s="97" customFormat="1" ht="15" customHeight="1">
      <c r="A21" s="1181" t="s">
        <v>308</v>
      </c>
      <c r="B21" s="1128" t="s">
        <v>396</v>
      </c>
      <c r="C21" s="1127" t="s">
        <v>391</v>
      </c>
      <c r="D21" s="782">
        <v>0</v>
      </c>
      <c r="E21" s="782">
        <v>0</v>
      </c>
      <c r="F21" s="782">
        <v>0</v>
      </c>
      <c r="G21" s="782">
        <v>0</v>
      </c>
      <c r="H21" s="782">
        <v>0</v>
      </c>
      <c r="I21" s="782">
        <v>0</v>
      </c>
      <c r="J21" s="782">
        <v>0</v>
      </c>
    </row>
    <row r="22" spans="1:13" s="97" customFormat="1" ht="15" customHeight="1">
      <c r="A22" s="1181" t="s">
        <v>310</v>
      </c>
      <c r="B22" s="1128" t="s">
        <v>397</v>
      </c>
      <c r="C22" s="1129" t="s">
        <v>226</v>
      </c>
      <c r="D22" s="3059">
        <v>0</v>
      </c>
      <c r="E22" s="3059">
        <v>0</v>
      </c>
      <c r="F22" s="3059">
        <v>0</v>
      </c>
      <c r="G22" s="3059">
        <v>0</v>
      </c>
      <c r="H22" s="3059">
        <v>0</v>
      </c>
      <c r="I22" s="3059">
        <v>0</v>
      </c>
      <c r="J22" s="3059">
        <v>0</v>
      </c>
      <c r="M22" s="97" t="s">
        <v>263</v>
      </c>
    </row>
    <row r="23" spans="1:13" s="97" customFormat="1" ht="15" customHeight="1">
      <c r="A23" s="1180">
        <v>3</v>
      </c>
      <c r="B23" s="1122" t="s">
        <v>398</v>
      </c>
      <c r="C23" s="1123" t="s">
        <v>226</v>
      </c>
      <c r="D23" s="1130">
        <v>0.1</v>
      </c>
      <c r="E23" s="1130">
        <v>0.1</v>
      </c>
      <c r="F23" s="1130">
        <v>0.1</v>
      </c>
      <c r="G23" s="1130">
        <v>0.1</v>
      </c>
      <c r="H23" s="1130">
        <v>0.1</v>
      </c>
      <c r="I23" s="1130">
        <v>0.1</v>
      </c>
      <c r="J23" s="1131">
        <v>0.1</v>
      </c>
    </row>
    <row r="24" spans="1:13" s="97" customFormat="1" ht="15" customHeight="1">
      <c r="A24" s="1180">
        <v>4</v>
      </c>
      <c r="B24" s="1122" t="s">
        <v>1229</v>
      </c>
      <c r="C24" s="1123" t="s">
        <v>226</v>
      </c>
      <c r="D24" s="3059">
        <v>5.11E-2</v>
      </c>
      <c r="E24" s="3059">
        <v>5.11E-2</v>
      </c>
      <c r="F24" s="3059">
        <v>7.5899999999999995E-2</v>
      </c>
      <c r="G24" s="3059">
        <v>7.5899999999999995E-2</v>
      </c>
      <c r="H24" s="3059">
        <v>7.5899999999999995E-2</v>
      </c>
      <c r="I24" s="3059">
        <v>7.5899999999999995E-2</v>
      </c>
      <c r="J24" s="3059">
        <v>7.5899999999999995E-2</v>
      </c>
    </row>
    <row r="25" spans="1:13" s="97" customFormat="1" ht="15" customHeight="1">
      <c r="A25" s="1180" t="s">
        <v>770</v>
      </c>
      <c r="B25" s="1122" t="s">
        <v>399</v>
      </c>
      <c r="C25" s="1123" t="s">
        <v>226</v>
      </c>
      <c r="D25" s="1130">
        <f t="shared" ref="D25:E25" si="2">IF(D16=0,0,(D17*D18+D19*D20+D21*D22)/D16)</f>
        <v>0</v>
      </c>
      <c r="E25" s="1130">
        <f t="shared" si="2"/>
        <v>0</v>
      </c>
      <c r="F25" s="1130">
        <f t="shared" ref="F25:J25" si="3">IF(F16=0,0,(F17*F18+F19*F20+F21*F22)/F16)</f>
        <v>0</v>
      </c>
      <c r="G25" s="1130">
        <f t="shared" si="3"/>
        <v>0</v>
      </c>
      <c r="H25" s="1130">
        <f t="shared" si="3"/>
        <v>0</v>
      </c>
      <c r="I25" s="1130">
        <f t="shared" si="3"/>
        <v>0</v>
      </c>
      <c r="J25" s="1131">
        <f t="shared" si="3"/>
        <v>0</v>
      </c>
    </row>
    <row r="26" spans="1:13" s="97" customFormat="1" ht="15" customHeight="1">
      <c r="A26" s="1180" t="s">
        <v>771</v>
      </c>
      <c r="B26" s="1122" t="s">
        <v>1228</v>
      </c>
      <c r="C26" s="1123" t="s">
        <v>226</v>
      </c>
      <c r="D26" s="3059">
        <v>0</v>
      </c>
      <c r="E26" s="3059">
        <v>0</v>
      </c>
      <c r="F26" s="3059">
        <v>5.2999999999999999E-2</v>
      </c>
      <c r="G26" s="3059">
        <v>5.2999999999999999E-2</v>
      </c>
      <c r="H26" s="3059">
        <v>5.2999999999999999E-2</v>
      </c>
      <c r="I26" s="3059">
        <v>5.2999999999999999E-2</v>
      </c>
      <c r="J26" s="3059">
        <v>5.2999999999999999E-2</v>
      </c>
    </row>
    <row r="27" spans="1:13" s="97" customFormat="1" ht="15" customHeight="1">
      <c r="A27" s="1180">
        <v>6</v>
      </c>
      <c r="B27" s="1122" t="s">
        <v>400</v>
      </c>
      <c r="C27" s="1123" t="s">
        <v>226</v>
      </c>
      <c r="D27" s="1130">
        <f t="shared" ref="D27:J27" si="4">IF(D13+D16=0,0,(D13)/(D13+D16))</f>
        <v>1</v>
      </c>
      <c r="E27" s="1130">
        <f t="shared" si="4"/>
        <v>1</v>
      </c>
      <c r="F27" s="1130">
        <f t="shared" si="4"/>
        <v>1</v>
      </c>
      <c r="G27" s="1130">
        <f t="shared" si="4"/>
        <v>1</v>
      </c>
      <c r="H27" s="1130">
        <f t="shared" si="4"/>
        <v>1</v>
      </c>
      <c r="I27" s="1130">
        <f t="shared" si="4"/>
        <v>1</v>
      </c>
      <c r="J27" s="1131">
        <f t="shared" si="4"/>
        <v>1</v>
      </c>
    </row>
    <row r="28" spans="1:13" s="97" customFormat="1" ht="15" customHeight="1">
      <c r="A28" s="1180">
        <v>7</v>
      </c>
      <c r="B28" s="1122" t="s">
        <v>401</v>
      </c>
      <c r="C28" s="1123" t="s">
        <v>226</v>
      </c>
      <c r="D28" s="1130">
        <f t="shared" ref="D28:J28" si="5">IF(D16+D13=0,0,(D16)/(D16+D13))</f>
        <v>0</v>
      </c>
      <c r="E28" s="1130">
        <f t="shared" si="5"/>
        <v>0</v>
      </c>
      <c r="F28" s="1130">
        <f t="shared" si="5"/>
        <v>0</v>
      </c>
      <c r="G28" s="1130">
        <f t="shared" si="5"/>
        <v>0</v>
      </c>
      <c r="H28" s="1130">
        <f t="shared" si="5"/>
        <v>0</v>
      </c>
      <c r="I28" s="1130">
        <f t="shared" si="5"/>
        <v>0</v>
      </c>
      <c r="J28" s="1131">
        <f t="shared" si="5"/>
        <v>0</v>
      </c>
    </row>
    <row r="29" spans="1:13" s="97" customFormat="1" ht="16.5" customHeight="1">
      <c r="A29" s="1182">
        <v>8</v>
      </c>
      <c r="B29" s="1132" t="s">
        <v>947</v>
      </c>
      <c r="C29" s="1133" t="s">
        <v>226</v>
      </c>
      <c r="D29" s="1134">
        <f>MIN(D25,D26)*D28+D24*D27*(D23/(1-D23)+1)</f>
        <v>5.6777777777777781E-2</v>
      </c>
      <c r="E29" s="1134">
        <f t="shared" ref="E29:J29" si="6">MIN(E25,E26)*E28+E24*E27*(E23/(1-E23)+1)</f>
        <v>5.6777777777777781E-2</v>
      </c>
      <c r="F29" s="1134">
        <f t="shared" si="6"/>
        <v>8.433333333333333E-2</v>
      </c>
      <c r="G29" s="1134">
        <f t="shared" si="6"/>
        <v>8.433333333333333E-2</v>
      </c>
      <c r="H29" s="1134">
        <f t="shared" si="6"/>
        <v>8.433333333333333E-2</v>
      </c>
      <c r="I29" s="1134">
        <f t="shared" si="6"/>
        <v>8.433333333333333E-2</v>
      </c>
      <c r="J29" s="1496">
        <f t="shared" si="6"/>
        <v>8.433333333333333E-2</v>
      </c>
    </row>
    <row r="30" spans="1:13" s="97" customFormat="1" ht="15" customHeight="1">
      <c r="A30" s="1181" t="s">
        <v>243</v>
      </c>
      <c r="B30" s="1135" t="s">
        <v>402</v>
      </c>
      <c r="C30" s="1127" t="s">
        <v>391</v>
      </c>
      <c r="D30" s="2518"/>
      <c r="E30" s="2518"/>
      <c r="F30" s="1136">
        <f>'17. РБА'!E21*'19. HB'!F29</f>
        <v>991.10465664035837</v>
      </c>
      <c r="G30" s="1136">
        <f>'17. РБА'!F21*'19. HB'!G29</f>
        <v>997.28966267956241</v>
      </c>
      <c r="H30" s="1136">
        <f>'17. РБА'!G21*'19. HB'!H29</f>
        <v>992.73192710167143</v>
      </c>
      <c r="I30" s="1136">
        <f>'17. РБА'!H21*'19. HB'!I29</f>
        <v>980.52038578157385</v>
      </c>
      <c r="J30" s="1137">
        <f>'17. РБА'!I21*'19. HB'!J29</f>
        <v>978.19447010192221</v>
      </c>
    </row>
    <row r="31" spans="1:13" ht="15" customHeight="1">
      <c r="A31" s="1181" t="s">
        <v>403</v>
      </c>
      <c r="B31" s="1135" t="s">
        <v>404</v>
      </c>
      <c r="C31" s="1127" t="s">
        <v>391</v>
      </c>
      <c r="D31" s="2518"/>
      <c r="E31" s="2518"/>
      <c r="F31" s="1136">
        <f>'17. РБА'!L21*'19. HB'!F29</f>
        <v>212.91428065816538</v>
      </c>
      <c r="G31" s="1136">
        <f>'17. РБА'!M21*'19. HB'!G29</f>
        <v>203.44432165224205</v>
      </c>
      <c r="H31" s="1136">
        <f>'17. РБА'!N21*'19. HB'!H29</f>
        <v>190.75496796045027</v>
      </c>
      <c r="I31" s="1136">
        <f>'17. РБА'!O21*'19. HB'!I29</f>
        <v>176.29409422306767</v>
      </c>
      <c r="J31" s="1137">
        <f>'17. РБА'!P21*'19. HB'!J29</f>
        <v>160.53804326158917</v>
      </c>
    </row>
    <row r="32" spans="1:13" ht="15" customHeight="1">
      <c r="A32" s="1181" t="s">
        <v>405</v>
      </c>
      <c r="B32" s="1135" t="s">
        <v>406</v>
      </c>
      <c r="C32" s="1127" t="s">
        <v>391</v>
      </c>
      <c r="D32" s="2518"/>
      <c r="E32" s="2518"/>
      <c r="F32" s="1136">
        <f>'17. РБА'!S21*'19. HB'!F29</f>
        <v>45.45635308960383</v>
      </c>
      <c r="G32" s="1136">
        <f>'17. РБА'!T21*'19. HB'!G29</f>
        <v>88.24839975495361</v>
      </c>
      <c r="H32" s="1136">
        <f>'17. РБА'!U21*'19. HB'!H29</f>
        <v>90.877899937878141</v>
      </c>
      <c r="I32" s="1136">
        <f>'17. РБА'!V21*'19. HB'!I29</f>
        <v>91.046982301294292</v>
      </c>
      <c r="J32" s="1137">
        <f>'17. РБА'!W21*'19. HB'!J29</f>
        <v>91.150087344251403</v>
      </c>
    </row>
    <row r="33" spans="1:11" ht="15" customHeight="1" thickBot="1">
      <c r="A33" s="1183">
        <v>9</v>
      </c>
      <c r="B33" s="1138" t="s">
        <v>407</v>
      </c>
      <c r="C33" s="1139" t="s">
        <v>391</v>
      </c>
      <c r="D33" s="2519"/>
      <c r="E33" s="2519"/>
      <c r="F33" s="1140">
        <f t="shared" ref="F33:J33" si="7">F30+F31+F32</f>
        <v>1249.4752903881276</v>
      </c>
      <c r="G33" s="1140">
        <f t="shared" si="7"/>
        <v>1288.9823840867582</v>
      </c>
      <c r="H33" s="1140">
        <f t="shared" si="7"/>
        <v>1274.3647949999997</v>
      </c>
      <c r="I33" s="1140">
        <f t="shared" si="7"/>
        <v>1247.8614623059359</v>
      </c>
      <c r="J33" s="1141">
        <f t="shared" si="7"/>
        <v>1229.8826007077628</v>
      </c>
    </row>
    <row r="34" spans="1:11" ht="12.75">
      <c r="B34" s="98"/>
      <c r="C34" s="99"/>
      <c r="D34" s="99"/>
      <c r="E34" s="99"/>
    </row>
    <row r="35" spans="1:11" customFormat="1" ht="15">
      <c r="A35" s="72"/>
      <c r="B35" s="396" t="str">
        <f>'18. OK'!B24</f>
        <v>Дата: 27.06.2016г.</v>
      </c>
      <c r="C35" s="74"/>
      <c r="D35" s="74"/>
      <c r="E35" s="74"/>
      <c r="F35" s="91"/>
      <c r="G35" s="91"/>
      <c r="H35" s="91"/>
      <c r="I35" s="91"/>
      <c r="J35" s="91"/>
      <c r="K35" s="91"/>
    </row>
    <row r="36" spans="1:11" customFormat="1" ht="12.75">
      <c r="F36" s="574" t="str">
        <f>'14. ОПР'!D49</f>
        <v>Главен счетоводител:</v>
      </c>
      <c r="G36" s="289"/>
      <c r="H36" s="219" t="s">
        <v>262</v>
      </c>
      <c r="I36" s="199"/>
      <c r="J36" s="199"/>
    </row>
    <row r="37" spans="1:11" customFormat="1" ht="12.75">
      <c r="A37" s="3592" t="s">
        <v>247</v>
      </c>
      <c r="B37" s="3592"/>
      <c r="C37" s="3592"/>
      <c r="F37" s="288"/>
      <c r="G37" s="220"/>
      <c r="H37" s="290"/>
      <c r="I37" s="291" t="s">
        <v>5</v>
      </c>
      <c r="J37" s="199"/>
    </row>
    <row r="38" spans="1:11" customFormat="1" ht="12.75">
      <c r="A38" s="3436" t="s">
        <v>248</v>
      </c>
      <c r="B38" s="3436"/>
      <c r="C38" s="3436"/>
      <c r="F38" s="288"/>
      <c r="G38" s="220"/>
      <c r="H38" s="290"/>
      <c r="I38" s="291"/>
      <c r="J38" s="199"/>
    </row>
    <row r="39" spans="1:11" customFormat="1" ht="12.75">
      <c r="A39" s="3436" t="s">
        <v>1467</v>
      </c>
      <c r="B39" s="3436"/>
      <c r="C39" s="3436"/>
      <c r="F39" s="288"/>
      <c r="G39" s="220"/>
      <c r="H39" s="290"/>
      <c r="I39" s="291"/>
      <c r="J39" s="199"/>
    </row>
    <row r="40" spans="1:11" customFormat="1" ht="13.5">
      <c r="A40" s="3637" t="s">
        <v>1515</v>
      </c>
      <c r="B40" s="3637"/>
      <c r="C40" s="3637"/>
      <c r="D40" s="666"/>
      <c r="E40" s="666"/>
      <c r="F40" s="292" t="str">
        <f>'14. ОПР'!E54</f>
        <v>Управител:</v>
      </c>
      <c r="H40" s="219" t="s">
        <v>262</v>
      </c>
      <c r="I40" s="217"/>
      <c r="J40" s="199"/>
    </row>
    <row r="41" spans="1:11" customFormat="1" ht="12.75">
      <c r="A41" s="3637" t="s">
        <v>1507</v>
      </c>
      <c r="B41" s="3637"/>
      <c r="C41" s="3637"/>
      <c r="D41" s="3637"/>
      <c r="E41" s="667"/>
      <c r="F41" s="288"/>
      <c r="G41" s="293"/>
      <c r="H41" s="290"/>
      <c r="I41" s="291" t="s">
        <v>6</v>
      </c>
      <c r="J41" s="199"/>
    </row>
    <row r="42" spans="1:11">
      <c r="B42" s="2517" t="s">
        <v>1516</v>
      </c>
    </row>
    <row r="43" spans="1:11">
      <c r="B43" s="2517" t="s">
        <v>1514</v>
      </c>
    </row>
    <row r="44" spans="1:11">
      <c r="B44" s="2517" t="s">
        <v>1517</v>
      </c>
    </row>
    <row r="45" spans="1:11">
      <c r="B45" s="2517" t="s">
        <v>1518</v>
      </c>
    </row>
    <row r="46" spans="1:11">
      <c r="B46" s="2517" t="s">
        <v>1519</v>
      </c>
    </row>
    <row r="47" spans="1:11" ht="39.75" customHeight="1">
      <c r="A47" s="3637" t="s">
        <v>1508</v>
      </c>
      <c r="B47" s="3637"/>
      <c r="C47" s="3637"/>
      <c r="D47" s="3637"/>
    </row>
    <row r="48" spans="1:11">
      <c r="B48" s="2517" t="s">
        <v>1520</v>
      </c>
    </row>
    <row r="49" spans="2:2">
      <c r="B49" s="2517" t="s">
        <v>1521</v>
      </c>
    </row>
    <row r="50" spans="2:2">
      <c r="B50" s="2517" t="s">
        <v>1522</v>
      </c>
    </row>
    <row r="51" spans="2:2">
      <c r="B51" s="2517" t="s">
        <v>1523</v>
      </c>
    </row>
  </sheetData>
  <sheetProtection formatCells="0" formatColumns="0" formatRows="0"/>
  <mergeCells count="10">
    <mergeCell ref="A47:D47"/>
    <mergeCell ref="A37:C37"/>
    <mergeCell ref="A38:C38"/>
    <mergeCell ref="A2:J2"/>
    <mergeCell ref="A3:J3"/>
    <mergeCell ref="A4:J4"/>
    <mergeCell ref="A5:J5"/>
    <mergeCell ref="A40:C40"/>
    <mergeCell ref="A39:C39"/>
    <mergeCell ref="A41:D41"/>
  </mergeCells>
  <dataValidations count="1">
    <dataValidation type="list" allowBlank="1" showInputMessage="1" showErrorMessage="1" sqref="C8:C9">
      <formula1>"ДА,НЕ"</formula1>
    </dataValidation>
  </dataValidations>
  <printOptions horizontalCentered="1" verticalCentered="1"/>
  <pageMargins left="0.39370078740157483" right="0.39370078740157483" top="0.59055118110236227" bottom="0.19685039370078741" header="0.51181102362204722" footer="0.51181102362204722"/>
  <pageSetup paperSize="9"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sheetPr>
  <dimension ref="A1:U29"/>
  <sheetViews>
    <sheetView showGridLines="0" view="pageBreakPreview" zoomScaleNormal="100" zoomScaleSheetLayoutView="100" workbookViewId="0">
      <selection activeCell="K9" sqref="K9"/>
    </sheetView>
  </sheetViews>
  <sheetFormatPr defaultRowHeight="12.75"/>
  <cols>
    <col min="1" max="1" width="4.85546875" customWidth="1"/>
    <col min="2" max="2" width="38.140625" customWidth="1"/>
    <col min="3" max="3" width="9.85546875" customWidth="1"/>
    <col min="4" max="18" width="7.7109375" customWidth="1"/>
    <col min="19" max="19" width="8.28515625" customWidth="1"/>
    <col min="20" max="20" width="11" customWidth="1"/>
    <col min="269" max="269" width="6.42578125" customWidth="1"/>
    <col min="270" max="270" width="51.85546875" customWidth="1"/>
    <col min="271" max="271" width="9.7109375" customWidth="1"/>
    <col min="272" max="274" width="13.7109375" customWidth="1"/>
    <col min="275" max="275" width="8.28515625" customWidth="1"/>
    <col min="276" max="276" width="11" customWidth="1"/>
    <col min="525" max="525" width="6.42578125" customWidth="1"/>
    <col min="526" max="526" width="51.85546875" customWidth="1"/>
    <col min="527" max="527" width="9.7109375" customWidth="1"/>
    <col min="528" max="530" width="13.7109375" customWidth="1"/>
    <col min="531" max="531" width="8.28515625" customWidth="1"/>
    <col min="532" max="532" width="11" customWidth="1"/>
    <col min="781" max="781" width="6.42578125" customWidth="1"/>
    <col min="782" max="782" width="51.85546875" customWidth="1"/>
    <col min="783" max="783" width="9.7109375" customWidth="1"/>
    <col min="784" max="786" width="13.7109375" customWidth="1"/>
    <col min="787" max="787" width="8.28515625" customWidth="1"/>
    <col min="788" max="788" width="11" customWidth="1"/>
    <col min="1037" max="1037" width="6.42578125" customWidth="1"/>
    <col min="1038" max="1038" width="51.85546875" customWidth="1"/>
    <col min="1039" max="1039" width="9.7109375" customWidth="1"/>
    <col min="1040" max="1042" width="13.7109375" customWidth="1"/>
    <col min="1043" max="1043" width="8.28515625" customWidth="1"/>
    <col min="1044" max="1044" width="11" customWidth="1"/>
    <col min="1293" max="1293" width="6.42578125" customWidth="1"/>
    <col min="1294" max="1294" width="51.85546875" customWidth="1"/>
    <col min="1295" max="1295" width="9.7109375" customWidth="1"/>
    <col min="1296" max="1298" width="13.7109375" customWidth="1"/>
    <col min="1299" max="1299" width="8.28515625" customWidth="1"/>
    <col min="1300" max="1300" width="11" customWidth="1"/>
    <col min="1549" max="1549" width="6.42578125" customWidth="1"/>
    <col min="1550" max="1550" width="51.85546875" customWidth="1"/>
    <col min="1551" max="1551" width="9.7109375" customWidth="1"/>
    <col min="1552" max="1554" width="13.7109375" customWidth="1"/>
    <col min="1555" max="1555" width="8.28515625" customWidth="1"/>
    <col min="1556" max="1556" width="11" customWidth="1"/>
    <col min="1805" max="1805" width="6.42578125" customWidth="1"/>
    <col min="1806" max="1806" width="51.85546875" customWidth="1"/>
    <col min="1807" max="1807" width="9.7109375" customWidth="1"/>
    <col min="1808" max="1810" width="13.7109375" customWidth="1"/>
    <col min="1811" max="1811" width="8.28515625" customWidth="1"/>
    <col min="1812" max="1812" width="11" customWidth="1"/>
    <col min="2061" max="2061" width="6.42578125" customWidth="1"/>
    <col min="2062" max="2062" width="51.85546875" customWidth="1"/>
    <col min="2063" max="2063" width="9.7109375" customWidth="1"/>
    <col min="2064" max="2066" width="13.7109375" customWidth="1"/>
    <col min="2067" max="2067" width="8.28515625" customWidth="1"/>
    <col min="2068" max="2068" width="11" customWidth="1"/>
    <col min="2317" max="2317" width="6.42578125" customWidth="1"/>
    <col min="2318" max="2318" width="51.85546875" customWidth="1"/>
    <col min="2319" max="2319" width="9.7109375" customWidth="1"/>
    <col min="2320" max="2322" width="13.7109375" customWidth="1"/>
    <col min="2323" max="2323" width="8.28515625" customWidth="1"/>
    <col min="2324" max="2324" width="11" customWidth="1"/>
    <col min="2573" max="2573" width="6.42578125" customWidth="1"/>
    <col min="2574" max="2574" width="51.85546875" customWidth="1"/>
    <col min="2575" max="2575" width="9.7109375" customWidth="1"/>
    <col min="2576" max="2578" width="13.7109375" customWidth="1"/>
    <col min="2579" max="2579" width="8.28515625" customWidth="1"/>
    <col min="2580" max="2580" width="11" customWidth="1"/>
    <col min="2829" max="2829" width="6.42578125" customWidth="1"/>
    <col min="2830" max="2830" width="51.85546875" customWidth="1"/>
    <col min="2831" max="2831" width="9.7109375" customWidth="1"/>
    <col min="2832" max="2834" width="13.7109375" customWidth="1"/>
    <col min="2835" max="2835" width="8.28515625" customWidth="1"/>
    <col min="2836" max="2836" width="11" customWidth="1"/>
    <col min="3085" max="3085" width="6.42578125" customWidth="1"/>
    <col min="3086" max="3086" width="51.85546875" customWidth="1"/>
    <col min="3087" max="3087" width="9.7109375" customWidth="1"/>
    <col min="3088" max="3090" width="13.7109375" customWidth="1"/>
    <col min="3091" max="3091" width="8.28515625" customWidth="1"/>
    <col min="3092" max="3092" width="11" customWidth="1"/>
    <col min="3341" max="3341" width="6.42578125" customWidth="1"/>
    <col min="3342" max="3342" width="51.85546875" customWidth="1"/>
    <col min="3343" max="3343" width="9.7109375" customWidth="1"/>
    <col min="3344" max="3346" width="13.7109375" customWidth="1"/>
    <col min="3347" max="3347" width="8.28515625" customWidth="1"/>
    <col min="3348" max="3348" width="11" customWidth="1"/>
    <col min="3597" max="3597" width="6.42578125" customWidth="1"/>
    <col min="3598" max="3598" width="51.85546875" customWidth="1"/>
    <col min="3599" max="3599" width="9.7109375" customWidth="1"/>
    <col min="3600" max="3602" width="13.7109375" customWidth="1"/>
    <col min="3603" max="3603" width="8.28515625" customWidth="1"/>
    <col min="3604" max="3604" width="11" customWidth="1"/>
    <col min="3853" max="3853" width="6.42578125" customWidth="1"/>
    <col min="3854" max="3854" width="51.85546875" customWidth="1"/>
    <col min="3855" max="3855" width="9.7109375" customWidth="1"/>
    <col min="3856" max="3858" width="13.7109375" customWidth="1"/>
    <col min="3859" max="3859" width="8.28515625" customWidth="1"/>
    <col min="3860" max="3860" width="11" customWidth="1"/>
    <col min="4109" max="4109" width="6.42578125" customWidth="1"/>
    <col min="4110" max="4110" width="51.85546875" customWidth="1"/>
    <col min="4111" max="4111" width="9.7109375" customWidth="1"/>
    <col min="4112" max="4114" width="13.7109375" customWidth="1"/>
    <col min="4115" max="4115" width="8.28515625" customWidth="1"/>
    <col min="4116" max="4116" width="11" customWidth="1"/>
    <col min="4365" max="4365" width="6.42578125" customWidth="1"/>
    <col min="4366" max="4366" width="51.85546875" customWidth="1"/>
    <col min="4367" max="4367" width="9.7109375" customWidth="1"/>
    <col min="4368" max="4370" width="13.7109375" customWidth="1"/>
    <col min="4371" max="4371" width="8.28515625" customWidth="1"/>
    <col min="4372" max="4372" width="11" customWidth="1"/>
    <col min="4621" max="4621" width="6.42578125" customWidth="1"/>
    <col min="4622" max="4622" width="51.85546875" customWidth="1"/>
    <col min="4623" max="4623" width="9.7109375" customWidth="1"/>
    <col min="4624" max="4626" width="13.7109375" customWidth="1"/>
    <col min="4627" max="4627" width="8.28515625" customWidth="1"/>
    <col min="4628" max="4628" width="11" customWidth="1"/>
    <col min="4877" max="4877" width="6.42578125" customWidth="1"/>
    <col min="4878" max="4878" width="51.85546875" customWidth="1"/>
    <col min="4879" max="4879" width="9.7109375" customWidth="1"/>
    <col min="4880" max="4882" width="13.7109375" customWidth="1"/>
    <col min="4883" max="4883" width="8.28515625" customWidth="1"/>
    <col min="4884" max="4884" width="11" customWidth="1"/>
    <col min="5133" max="5133" width="6.42578125" customWidth="1"/>
    <col min="5134" max="5134" width="51.85546875" customWidth="1"/>
    <col min="5135" max="5135" width="9.7109375" customWidth="1"/>
    <col min="5136" max="5138" width="13.7109375" customWidth="1"/>
    <col min="5139" max="5139" width="8.28515625" customWidth="1"/>
    <col min="5140" max="5140" width="11" customWidth="1"/>
    <col min="5389" max="5389" width="6.42578125" customWidth="1"/>
    <col min="5390" max="5390" width="51.85546875" customWidth="1"/>
    <col min="5391" max="5391" width="9.7109375" customWidth="1"/>
    <col min="5392" max="5394" width="13.7109375" customWidth="1"/>
    <col min="5395" max="5395" width="8.28515625" customWidth="1"/>
    <col min="5396" max="5396" width="11" customWidth="1"/>
    <col min="5645" max="5645" width="6.42578125" customWidth="1"/>
    <col min="5646" max="5646" width="51.85546875" customWidth="1"/>
    <col min="5647" max="5647" width="9.7109375" customWidth="1"/>
    <col min="5648" max="5650" width="13.7109375" customWidth="1"/>
    <col min="5651" max="5651" width="8.28515625" customWidth="1"/>
    <col min="5652" max="5652" width="11" customWidth="1"/>
    <col min="5901" max="5901" width="6.42578125" customWidth="1"/>
    <col min="5902" max="5902" width="51.85546875" customWidth="1"/>
    <col min="5903" max="5903" width="9.7109375" customWidth="1"/>
    <col min="5904" max="5906" width="13.7109375" customWidth="1"/>
    <col min="5907" max="5907" width="8.28515625" customWidth="1"/>
    <col min="5908" max="5908" width="11" customWidth="1"/>
    <col min="6157" max="6157" width="6.42578125" customWidth="1"/>
    <col min="6158" max="6158" width="51.85546875" customWidth="1"/>
    <col min="6159" max="6159" width="9.7109375" customWidth="1"/>
    <col min="6160" max="6162" width="13.7109375" customWidth="1"/>
    <col min="6163" max="6163" width="8.28515625" customWidth="1"/>
    <col min="6164" max="6164" width="11" customWidth="1"/>
    <col min="6413" max="6413" width="6.42578125" customWidth="1"/>
    <col min="6414" max="6414" width="51.85546875" customWidth="1"/>
    <col min="6415" max="6415" width="9.7109375" customWidth="1"/>
    <col min="6416" max="6418" width="13.7109375" customWidth="1"/>
    <col min="6419" max="6419" width="8.28515625" customWidth="1"/>
    <col min="6420" max="6420" width="11" customWidth="1"/>
    <col min="6669" max="6669" width="6.42578125" customWidth="1"/>
    <col min="6670" max="6670" width="51.85546875" customWidth="1"/>
    <col min="6671" max="6671" width="9.7109375" customWidth="1"/>
    <col min="6672" max="6674" width="13.7109375" customWidth="1"/>
    <col min="6675" max="6675" width="8.28515625" customWidth="1"/>
    <col min="6676" max="6676" width="11" customWidth="1"/>
    <col min="6925" max="6925" width="6.42578125" customWidth="1"/>
    <col min="6926" max="6926" width="51.85546875" customWidth="1"/>
    <col min="6927" max="6927" width="9.7109375" customWidth="1"/>
    <col min="6928" max="6930" width="13.7109375" customWidth="1"/>
    <col min="6931" max="6931" width="8.28515625" customWidth="1"/>
    <col min="6932" max="6932" width="11" customWidth="1"/>
    <col min="7181" max="7181" width="6.42578125" customWidth="1"/>
    <col min="7182" max="7182" width="51.85546875" customWidth="1"/>
    <col min="7183" max="7183" width="9.7109375" customWidth="1"/>
    <col min="7184" max="7186" width="13.7109375" customWidth="1"/>
    <col min="7187" max="7187" width="8.28515625" customWidth="1"/>
    <col min="7188" max="7188" width="11" customWidth="1"/>
    <col min="7437" max="7437" width="6.42578125" customWidth="1"/>
    <col min="7438" max="7438" width="51.85546875" customWidth="1"/>
    <col min="7439" max="7439" width="9.7109375" customWidth="1"/>
    <col min="7440" max="7442" width="13.7109375" customWidth="1"/>
    <col min="7443" max="7443" width="8.28515625" customWidth="1"/>
    <col min="7444" max="7444" width="11" customWidth="1"/>
    <col min="7693" max="7693" width="6.42578125" customWidth="1"/>
    <col min="7694" max="7694" width="51.85546875" customWidth="1"/>
    <col min="7695" max="7695" width="9.7109375" customWidth="1"/>
    <col min="7696" max="7698" width="13.7109375" customWidth="1"/>
    <col min="7699" max="7699" width="8.28515625" customWidth="1"/>
    <col min="7700" max="7700" width="11" customWidth="1"/>
    <col min="7949" max="7949" width="6.42578125" customWidth="1"/>
    <col min="7950" max="7950" width="51.85546875" customWidth="1"/>
    <col min="7951" max="7951" width="9.7109375" customWidth="1"/>
    <col min="7952" max="7954" width="13.7109375" customWidth="1"/>
    <col min="7955" max="7955" width="8.28515625" customWidth="1"/>
    <col min="7956" max="7956" width="11" customWidth="1"/>
    <col min="8205" max="8205" width="6.42578125" customWidth="1"/>
    <col min="8206" max="8206" width="51.85546875" customWidth="1"/>
    <col min="8207" max="8207" width="9.7109375" customWidth="1"/>
    <col min="8208" max="8210" width="13.7109375" customWidth="1"/>
    <col min="8211" max="8211" width="8.28515625" customWidth="1"/>
    <col min="8212" max="8212" width="11" customWidth="1"/>
    <col min="8461" max="8461" width="6.42578125" customWidth="1"/>
    <col min="8462" max="8462" width="51.85546875" customWidth="1"/>
    <col min="8463" max="8463" width="9.7109375" customWidth="1"/>
    <col min="8464" max="8466" width="13.7109375" customWidth="1"/>
    <col min="8467" max="8467" width="8.28515625" customWidth="1"/>
    <col min="8468" max="8468" width="11" customWidth="1"/>
    <col min="8717" max="8717" width="6.42578125" customWidth="1"/>
    <col min="8718" max="8718" width="51.85546875" customWidth="1"/>
    <col min="8719" max="8719" width="9.7109375" customWidth="1"/>
    <col min="8720" max="8722" width="13.7109375" customWidth="1"/>
    <col min="8723" max="8723" width="8.28515625" customWidth="1"/>
    <col min="8724" max="8724" width="11" customWidth="1"/>
    <col min="8973" max="8973" width="6.42578125" customWidth="1"/>
    <col min="8974" max="8974" width="51.85546875" customWidth="1"/>
    <col min="8975" max="8975" width="9.7109375" customWidth="1"/>
    <col min="8976" max="8978" width="13.7109375" customWidth="1"/>
    <col min="8979" max="8979" width="8.28515625" customWidth="1"/>
    <col min="8980" max="8980" width="11" customWidth="1"/>
    <col min="9229" max="9229" width="6.42578125" customWidth="1"/>
    <col min="9230" max="9230" width="51.85546875" customWidth="1"/>
    <col min="9231" max="9231" width="9.7109375" customWidth="1"/>
    <col min="9232" max="9234" width="13.7109375" customWidth="1"/>
    <col min="9235" max="9235" width="8.28515625" customWidth="1"/>
    <col min="9236" max="9236" width="11" customWidth="1"/>
    <col min="9485" max="9485" width="6.42578125" customWidth="1"/>
    <col min="9486" max="9486" width="51.85546875" customWidth="1"/>
    <col min="9487" max="9487" width="9.7109375" customWidth="1"/>
    <col min="9488" max="9490" width="13.7109375" customWidth="1"/>
    <col min="9491" max="9491" width="8.28515625" customWidth="1"/>
    <col min="9492" max="9492" width="11" customWidth="1"/>
    <col min="9741" max="9741" width="6.42578125" customWidth="1"/>
    <col min="9742" max="9742" width="51.85546875" customWidth="1"/>
    <col min="9743" max="9743" width="9.7109375" customWidth="1"/>
    <col min="9744" max="9746" width="13.7109375" customWidth="1"/>
    <col min="9747" max="9747" width="8.28515625" customWidth="1"/>
    <col min="9748" max="9748" width="11" customWidth="1"/>
    <col min="9997" max="9997" width="6.42578125" customWidth="1"/>
    <col min="9998" max="9998" width="51.85546875" customWidth="1"/>
    <col min="9999" max="9999" width="9.7109375" customWidth="1"/>
    <col min="10000" max="10002" width="13.7109375" customWidth="1"/>
    <col min="10003" max="10003" width="8.28515625" customWidth="1"/>
    <col min="10004" max="10004" width="11" customWidth="1"/>
    <col min="10253" max="10253" width="6.42578125" customWidth="1"/>
    <col min="10254" max="10254" width="51.85546875" customWidth="1"/>
    <col min="10255" max="10255" width="9.7109375" customWidth="1"/>
    <col min="10256" max="10258" width="13.7109375" customWidth="1"/>
    <col min="10259" max="10259" width="8.28515625" customWidth="1"/>
    <col min="10260" max="10260" width="11" customWidth="1"/>
    <col min="10509" max="10509" width="6.42578125" customWidth="1"/>
    <col min="10510" max="10510" width="51.85546875" customWidth="1"/>
    <col min="10511" max="10511" width="9.7109375" customWidth="1"/>
    <col min="10512" max="10514" width="13.7109375" customWidth="1"/>
    <col min="10515" max="10515" width="8.28515625" customWidth="1"/>
    <col min="10516" max="10516" width="11" customWidth="1"/>
    <col min="10765" max="10765" width="6.42578125" customWidth="1"/>
    <col min="10766" max="10766" width="51.85546875" customWidth="1"/>
    <col min="10767" max="10767" width="9.7109375" customWidth="1"/>
    <col min="10768" max="10770" width="13.7109375" customWidth="1"/>
    <col min="10771" max="10771" width="8.28515625" customWidth="1"/>
    <col min="10772" max="10772" width="11" customWidth="1"/>
    <col min="11021" max="11021" width="6.42578125" customWidth="1"/>
    <col min="11022" max="11022" width="51.85546875" customWidth="1"/>
    <col min="11023" max="11023" width="9.7109375" customWidth="1"/>
    <col min="11024" max="11026" width="13.7109375" customWidth="1"/>
    <col min="11027" max="11027" width="8.28515625" customWidth="1"/>
    <col min="11028" max="11028" width="11" customWidth="1"/>
    <col min="11277" max="11277" width="6.42578125" customWidth="1"/>
    <col min="11278" max="11278" width="51.85546875" customWidth="1"/>
    <col min="11279" max="11279" width="9.7109375" customWidth="1"/>
    <col min="11280" max="11282" width="13.7109375" customWidth="1"/>
    <col min="11283" max="11283" width="8.28515625" customWidth="1"/>
    <col min="11284" max="11284" width="11" customWidth="1"/>
    <col min="11533" max="11533" width="6.42578125" customWidth="1"/>
    <col min="11534" max="11534" width="51.85546875" customWidth="1"/>
    <col min="11535" max="11535" width="9.7109375" customWidth="1"/>
    <col min="11536" max="11538" width="13.7109375" customWidth="1"/>
    <col min="11539" max="11539" width="8.28515625" customWidth="1"/>
    <col min="11540" max="11540" width="11" customWidth="1"/>
    <col min="11789" max="11789" width="6.42578125" customWidth="1"/>
    <col min="11790" max="11790" width="51.85546875" customWidth="1"/>
    <col min="11791" max="11791" width="9.7109375" customWidth="1"/>
    <col min="11792" max="11794" width="13.7109375" customWidth="1"/>
    <col min="11795" max="11795" width="8.28515625" customWidth="1"/>
    <col min="11796" max="11796" width="11" customWidth="1"/>
    <col min="12045" max="12045" width="6.42578125" customWidth="1"/>
    <col min="12046" max="12046" width="51.85546875" customWidth="1"/>
    <col min="12047" max="12047" width="9.7109375" customWidth="1"/>
    <col min="12048" max="12050" width="13.7109375" customWidth="1"/>
    <col min="12051" max="12051" width="8.28515625" customWidth="1"/>
    <col min="12052" max="12052" width="11" customWidth="1"/>
    <col min="12301" max="12301" width="6.42578125" customWidth="1"/>
    <col min="12302" max="12302" width="51.85546875" customWidth="1"/>
    <col min="12303" max="12303" width="9.7109375" customWidth="1"/>
    <col min="12304" max="12306" width="13.7109375" customWidth="1"/>
    <col min="12307" max="12307" width="8.28515625" customWidth="1"/>
    <col min="12308" max="12308" width="11" customWidth="1"/>
    <col min="12557" max="12557" width="6.42578125" customWidth="1"/>
    <col min="12558" max="12558" width="51.85546875" customWidth="1"/>
    <col min="12559" max="12559" width="9.7109375" customWidth="1"/>
    <col min="12560" max="12562" width="13.7109375" customWidth="1"/>
    <col min="12563" max="12563" width="8.28515625" customWidth="1"/>
    <col min="12564" max="12564" width="11" customWidth="1"/>
    <col min="12813" max="12813" width="6.42578125" customWidth="1"/>
    <col min="12814" max="12814" width="51.85546875" customWidth="1"/>
    <col min="12815" max="12815" width="9.7109375" customWidth="1"/>
    <col min="12816" max="12818" width="13.7109375" customWidth="1"/>
    <col min="12819" max="12819" width="8.28515625" customWidth="1"/>
    <col min="12820" max="12820" width="11" customWidth="1"/>
    <col min="13069" max="13069" width="6.42578125" customWidth="1"/>
    <col min="13070" max="13070" width="51.85546875" customWidth="1"/>
    <col min="13071" max="13071" width="9.7109375" customWidth="1"/>
    <col min="13072" max="13074" width="13.7109375" customWidth="1"/>
    <col min="13075" max="13075" width="8.28515625" customWidth="1"/>
    <col min="13076" max="13076" width="11" customWidth="1"/>
    <col min="13325" max="13325" width="6.42578125" customWidth="1"/>
    <col min="13326" max="13326" width="51.85546875" customWidth="1"/>
    <col min="13327" max="13327" width="9.7109375" customWidth="1"/>
    <col min="13328" max="13330" width="13.7109375" customWidth="1"/>
    <col min="13331" max="13331" width="8.28515625" customWidth="1"/>
    <col min="13332" max="13332" width="11" customWidth="1"/>
    <col min="13581" max="13581" width="6.42578125" customWidth="1"/>
    <col min="13582" max="13582" width="51.85546875" customWidth="1"/>
    <col min="13583" max="13583" width="9.7109375" customWidth="1"/>
    <col min="13584" max="13586" width="13.7109375" customWidth="1"/>
    <col min="13587" max="13587" width="8.28515625" customWidth="1"/>
    <col min="13588" max="13588" width="11" customWidth="1"/>
    <col min="13837" max="13837" width="6.42578125" customWidth="1"/>
    <col min="13838" max="13838" width="51.85546875" customWidth="1"/>
    <col min="13839" max="13839" width="9.7109375" customWidth="1"/>
    <col min="13840" max="13842" width="13.7109375" customWidth="1"/>
    <col min="13843" max="13843" width="8.28515625" customWidth="1"/>
    <col min="13844" max="13844" width="11" customWidth="1"/>
    <col min="14093" max="14093" width="6.42578125" customWidth="1"/>
    <col min="14094" max="14094" width="51.85546875" customWidth="1"/>
    <col min="14095" max="14095" width="9.7109375" customWidth="1"/>
    <col min="14096" max="14098" width="13.7109375" customWidth="1"/>
    <col min="14099" max="14099" width="8.28515625" customWidth="1"/>
    <col min="14100" max="14100" width="11" customWidth="1"/>
    <col min="14349" max="14349" width="6.42578125" customWidth="1"/>
    <col min="14350" max="14350" width="51.85546875" customWidth="1"/>
    <col min="14351" max="14351" width="9.7109375" customWidth="1"/>
    <col min="14352" max="14354" width="13.7109375" customWidth="1"/>
    <col min="14355" max="14355" width="8.28515625" customWidth="1"/>
    <col min="14356" max="14356" width="11" customWidth="1"/>
    <col min="14605" max="14605" width="6.42578125" customWidth="1"/>
    <col min="14606" max="14606" width="51.85546875" customWidth="1"/>
    <col min="14607" max="14607" width="9.7109375" customWidth="1"/>
    <col min="14608" max="14610" width="13.7109375" customWidth="1"/>
    <col min="14611" max="14611" width="8.28515625" customWidth="1"/>
    <col min="14612" max="14612" width="11" customWidth="1"/>
    <col min="14861" max="14861" width="6.42578125" customWidth="1"/>
    <col min="14862" max="14862" width="51.85546875" customWidth="1"/>
    <col min="14863" max="14863" width="9.7109375" customWidth="1"/>
    <col min="14864" max="14866" width="13.7109375" customWidth="1"/>
    <col min="14867" max="14867" width="8.28515625" customWidth="1"/>
    <col min="14868" max="14868" width="11" customWidth="1"/>
    <col min="15117" max="15117" width="6.42578125" customWidth="1"/>
    <col min="15118" max="15118" width="51.85546875" customWidth="1"/>
    <col min="15119" max="15119" width="9.7109375" customWidth="1"/>
    <col min="15120" max="15122" width="13.7109375" customWidth="1"/>
    <col min="15123" max="15123" width="8.28515625" customWidth="1"/>
    <col min="15124" max="15124" width="11" customWidth="1"/>
    <col min="15373" max="15373" width="6.42578125" customWidth="1"/>
    <col min="15374" max="15374" width="51.85546875" customWidth="1"/>
    <col min="15375" max="15375" width="9.7109375" customWidth="1"/>
    <col min="15376" max="15378" width="13.7109375" customWidth="1"/>
    <col min="15379" max="15379" width="8.28515625" customWidth="1"/>
    <col min="15380" max="15380" width="11" customWidth="1"/>
    <col min="15629" max="15629" width="6.42578125" customWidth="1"/>
    <col min="15630" max="15630" width="51.85546875" customWidth="1"/>
    <col min="15631" max="15631" width="9.7109375" customWidth="1"/>
    <col min="15632" max="15634" width="13.7109375" customWidth="1"/>
    <col min="15635" max="15635" width="8.28515625" customWidth="1"/>
    <col min="15636" max="15636" width="11" customWidth="1"/>
    <col min="15885" max="15885" width="6.42578125" customWidth="1"/>
    <col min="15886" max="15886" width="51.85546875" customWidth="1"/>
    <col min="15887" max="15887" width="9.7109375" customWidth="1"/>
    <col min="15888" max="15890" width="13.7109375" customWidth="1"/>
    <col min="15891" max="15891" width="8.28515625" customWidth="1"/>
    <col min="15892" max="15892" width="11" customWidth="1"/>
    <col min="16141" max="16141" width="6.42578125" customWidth="1"/>
    <col min="16142" max="16142" width="51.85546875" customWidth="1"/>
    <col min="16143" max="16143" width="9.7109375" customWidth="1"/>
    <col min="16144" max="16146" width="13.7109375" customWidth="1"/>
    <col min="16147" max="16147" width="8.28515625" customWidth="1"/>
    <col min="16148" max="16148" width="11" customWidth="1"/>
  </cols>
  <sheetData>
    <row r="1" spans="1:21" ht="13.5">
      <c r="Q1" s="388"/>
      <c r="R1" s="51" t="str">
        <f>'19. HB'!J1</f>
        <v>Приложение № 6</v>
      </c>
    </row>
    <row r="2" spans="1:21" s="1" customFormat="1" ht="18.75">
      <c r="A2" s="3641" t="s">
        <v>883</v>
      </c>
      <c r="B2" s="3641"/>
      <c r="C2" s="3641"/>
      <c r="D2" s="3641"/>
      <c r="E2" s="3641"/>
      <c r="F2" s="3641"/>
      <c r="G2" s="3641"/>
      <c r="H2" s="3641"/>
      <c r="I2" s="3641"/>
      <c r="J2" s="3641"/>
      <c r="K2" s="3641"/>
      <c r="L2" s="3641"/>
      <c r="M2" s="3641"/>
      <c r="N2" s="3641"/>
      <c r="O2" s="3641"/>
      <c r="P2" s="3641"/>
      <c r="Q2" s="3641"/>
      <c r="R2" s="3641"/>
      <c r="S2" s="108"/>
      <c r="T2" s="100"/>
    </row>
    <row r="3" spans="1:21" s="1" customFormat="1" ht="18.75">
      <c r="A3" s="3642" t="s">
        <v>1423</v>
      </c>
      <c r="B3" s="3642"/>
      <c r="C3" s="3642"/>
      <c r="D3" s="3642"/>
      <c r="E3" s="3642"/>
      <c r="F3" s="3642"/>
      <c r="G3" s="3642"/>
      <c r="H3" s="3642"/>
      <c r="I3" s="3642"/>
      <c r="J3" s="3642"/>
      <c r="K3" s="3642"/>
      <c r="L3" s="3642"/>
      <c r="M3" s="3642"/>
      <c r="N3" s="3642"/>
      <c r="O3" s="3642"/>
      <c r="P3" s="3642"/>
      <c r="Q3" s="3642"/>
      <c r="R3" s="3642"/>
      <c r="S3" s="100"/>
      <c r="T3" s="100"/>
    </row>
    <row r="4" spans="1:21" s="1" customFormat="1" ht="15" customHeight="1">
      <c r="A4" s="3643" t="str">
        <f>'1. Анкетна карта'!A3:J3</f>
        <v>на "Водоснабдяване и канализация" ООД , гр. Враца</v>
      </c>
      <c r="B4" s="3643"/>
      <c r="C4" s="3643"/>
      <c r="D4" s="3643"/>
      <c r="E4" s="3643"/>
      <c r="F4" s="3643"/>
      <c r="G4" s="3643"/>
      <c r="H4" s="3643"/>
      <c r="I4" s="3643"/>
      <c r="J4" s="3643"/>
      <c r="K4" s="3643"/>
      <c r="L4" s="3643"/>
      <c r="M4" s="3643"/>
      <c r="N4" s="3643"/>
      <c r="O4" s="3643"/>
      <c r="P4" s="3643"/>
      <c r="Q4" s="3643"/>
      <c r="R4" s="3643"/>
      <c r="S4" s="100"/>
      <c r="T4" s="100"/>
    </row>
    <row r="5" spans="1:21" s="1" customFormat="1" ht="15" customHeight="1">
      <c r="A5" s="3643" t="str">
        <f>'1. Анкетна карта'!A4:J4</f>
        <v>ЕИК по БУЛСТАТ: 816090199</v>
      </c>
      <c r="B5" s="3643"/>
      <c r="C5" s="3643"/>
      <c r="D5" s="3643"/>
      <c r="E5" s="3643"/>
      <c r="F5" s="3643"/>
      <c r="G5" s="3643"/>
      <c r="H5" s="3643"/>
      <c r="I5" s="3643"/>
      <c r="J5" s="3643"/>
      <c r="K5" s="3643"/>
      <c r="L5" s="3643"/>
      <c r="M5" s="3643"/>
      <c r="N5" s="3643"/>
      <c r="O5" s="3643"/>
      <c r="P5" s="3643"/>
      <c r="Q5" s="3643"/>
      <c r="R5" s="3643"/>
      <c r="S5" s="100"/>
      <c r="T5" s="100"/>
    </row>
    <row r="6" spans="1:21" s="1" customFormat="1" ht="15" customHeight="1" thickBot="1">
      <c r="A6" s="132"/>
      <c r="B6" s="132"/>
      <c r="C6" s="132"/>
      <c r="D6" s="132"/>
      <c r="E6" s="132"/>
      <c r="F6" s="132"/>
      <c r="G6" s="132"/>
      <c r="H6" s="132"/>
      <c r="I6" s="132"/>
      <c r="J6" s="132"/>
      <c r="K6" s="132"/>
      <c r="L6" s="132"/>
      <c r="M6" s="132"/>
      <c r="N6" s="132"/>
      <c r="O6" s="132"/>
      <c r="P6" s="132"/>
      <c r="Q6" s="132"/>
      <c r="R6" s="132"/>
      <c r="S6" s="100"/>
      <c r="T6" s="100"/>
    </row>
    <row r="7" spans="1:21" s="1" customFormat="1" ht="15" customHeight="1">
      <c r="A7" s="3647" t="s">
        <v>1</v>
      </c>
      <c r="B7" s="3647" t="s">
        <v>343</v>
      </c>
      <c r="C7" s="3647" t="s">
        <v>222</v>
      </c>
      <c r="D7" s="3644" t="s">
        <v>270</v>
      </c>
      <c r="E7" s="3645"/>
      <c r="F7" s="3645"/>
      <c r="G7" s="3645"/>
      <c r="H7" s="3646"/>
      <c r="I7" s="3644" t="s">
        <v>230</v>
      </c>
      <c r="J7" s="3645"/>
      <c r="K7" s="3645"/>
      <c r="L7" s="3645"/>
      <c r="M7" s="3646"/>
      <c r="N7" s="3644" t="s">
        <v>241</v>
      </c>
      <c r="O7" s="3645"/>
      <c r="P7" s="3645"/>
      <c r="Q7" s="3645"/>
      <c r="R7" s="3646"/>
      <c r="S7" s="100"/>
      <c r="T7" s="100"/>
    </row>
    <row r="8" spans="1:21" s="53" customFormat="1" ht="15.75" thickBot="1">
      <c r="A8" s="3648"/>
      <c r="B8" s="3648"/>
      <c r="C8" s="3648"/>
      <c r="D8" s="2180" t="str">
        <f>'Приложение '!$G14</f>
        <v>2017 г.</v>
      </c>
      <c r="E8" s="2169" t="str">
        <f>'Приложение '!$G15</f>
        <v>2018 г.</v>
      </c>
      <c r="F8" s="2169" t="str">
        <f>'Приложение '!$G16</f>
        <v>2019 г.</v>
      </c>
      <c r="G8" s="2169" t="str">
        <f>'Приложение '!$G17</f>
        <v>2020 г.</v>
      </c>
      <c r="H8" s="2170" t="str">
        <f>'Приложение '!$G18</f>
        <v>2021 г.</v>
      </c>
      <c r="I8" s="2180" t="str">
        <f>'Приложение '!$G14</f>
        <v>2017 г.</v>
      </c>
      <c r="J8" s="2169" t="str">
        <f>'Приложение '!$G15</f>
        <v>2018 г.</v>
      </c>
      <c r="K8" s="2169" t="str">
        <f>'Приложение '!$G16</f>
        <v>2019 г.</v>
      </c>
      <c r="L8" s="2169" t="str">
        <f>'Приложение '!$G17</f>
        <v>2020 г.</v>
      </c>
      <c r="M8" s="2170" t="str">
        <f>'Приложение '!$G18</f>
        <v>2021 г.</v>
      </c>
      <c r="N8" s="2180" t="str">
        <f>'Приложение '!$G14</f>
        <v>2017 г.</v>
      </c>
      <c r="O8" s="2169" t="str">
        <f>'Приложение '!$G15</f>
        <v>2018 г.</v>
      </c>
      <c r="P8" s="2169" t="str">
        <f>'Приложение '!$G16</f>
        <v>2019 г.</v>
      </c>
      <c r="Q8" s="2169" t="str">
        <f>'Приложение '!$G17</f>
        <v>2020 г.</v>
      </c>
      <c r="R8" s="2170" t="str">
        <f>'Приложение '!$G18</f>
        <v>2021 г.</v>
      </c>
      <c r="S8" s="102"/>
      <c r="T8" s="103"/>
      <c r="U8" s="101"/>
    </row>
    <row r="9" spans="1:21" s="53" customFormat="1" ht="29.25" customHeight="1" thickBot="1">
      <c r="A9" s="1155">
        <v>1</v>
      </c>
      <c r="B9" s="1156" t="s">
        <v>820</v>
      </c>
      <c r="C9" s="1606" t="s">
        <v>408</v>
      </c>
      <c r="D9" s="1154">
        <f>'16. Необходими приходи'!F11/'16. Необходими приходи'!F12</f>
        <v>1.7457508269906341</v>
      </c>
      <c r="E9" s="2181">
        <f>'16. Необходими приходи'!G11/'16. Необходими приходи'!G12</f>
        <v>1.7695656683081928</v>
      </c>
      <c r="F9" s="2181">
        <f>'16. Необходими приходи'!H11/'16. Необходими приходи'!H12</f>
        <v>1.7675106395082014</v>
      </c>
      <c r="G9" s="2181">
        <f>'16. Необходими приходи'!I11/'16. Необходими приходи'!I12</f>
        <v>1.8103095778643175</v>
      </c>
      <c r="H9" s="2182">
        <f>'16. Необходими приходи'!J11/'16. Необходими приходи'!J12</f>
        <v>1.9713417358784719</v>
      </c>
      <c r="I9" s="1154">
        <f>'16. Необходими приходи'!M11/'16. Необходими приходи'!M13</f>
        <v>0.25228420271506036</v>
      </c>
      <c r="J9" s="2181">
        <f>'16. Необходими приходи'!N11/'16. Необходими приходи'!N13</f>
        <v>0.26016867642665475</v>
      </c>
      <c r="K9" s="2181">
        <f>'16. Необходими приходи'!O11/'16. Необходими приходи'!O13</f>
        <v>0.27435394597209506</v>
      </c>
      <c r="L9" s="2181">
        <f>'16. Необходими приходи'!P11/'16. Необходими приходи'!P13</f>
        <v>0.26879924418669293</v>
      </c>
      <c r="M9" s="2182">
        <f>'16. Необходими приходи'!Q11/'16. Необходими приходи'!Q13</f>
        <v>0.26892435564723038</v>
      </c>
      <c r="N9" s="1154">
        <f>'16. Необходими приходи'!T11/('16. Необходими приходи'!T14+'16. Необходими приходи'!T16*'16. Необходими приходи'!F24+'16. Необходими приходи'!T17*'16. Необходими приходи'!F25+'16. Необходими приходи'!T18*'16. Необходими приходи'!F26)</f>
        <v>0.47870031848251077</v>
      </c>
      <c r="O9" s="2181">
        <f>'16. Необходими приходи'!U11/('16. Необходими приходи'!U14+'16. Необходими приходи'!U16*'16. Необходими приходи'!G24+'16. Необходими приходи'!U17*'16. Необходими приходи'!G25+'16. Необходими приходи'!U18*'16. Необходими приходи'!G26)</f>
        <v>0.47925714628006832</v>
      </c>
      <c r="P9" s="2181">
        <f>'16. Необходими приходи'!V11/('16. Необходими приходи'!V14+'16. Необходими приходи'!V16*'16. Необходими приходи'!H24+'16. Необходими приходи'!V17*'16. Необходими приходи'!H25+'16. Необходими приходи'!V18*'16. Необходими приходи'!H26)</f>
        <v>0.50853477625415866</v>
      </c>
      <c r="Q9" s="2181">
        <f>'16. Необходими приходи'!W11/('16. Необходими приходи'!W14+'16. Необходими приходи'!W16*'16. Необходими приходи'!I24+'16. Необходими приходи'!W17*'16. Необходими приходи'!I25+'16. Необходими приходи'!W18*'16. Необходими приходи'!I26)</f>
        <v>0.53691267470364112</v>
      </c>
      <c r="R9" s="2182">
        <f>'16. Необходими приходи'!X11/('16. Необходими приходи'!X14+'16. Необходими приходи'!X16*'16. Необходими приходи'!J24+'16. Необходими приходи'!X17*'16. Необходими приходи'!J25+'16. Необходими приходи'!X18*'16. Необходими приходи'!J26)</f>
        <v>0.53938787189645854</v>
      </c>
      <c r="S9" s="104"/>
      <c r="T9" s="101"/>
      <c r="U9" s="101"/>
    </row>
    <row r="10" spans="1:21" ht="15" customHeight="1" thickBot="1">
      <c r="A10" s="1157">
        <v>2</v>
      </c>
      <c r="B10" s="1158" t="s">
        <v>236</v>
      </c>
      <c r="C10" s="131"/>
      <c r="D10" s="2183"/>
      <c r="E10" s="2184"/>
      <c r="F10" s="2184"/>
      <c r="G10" s="2184"/>
      <c r="H10" s="2185"/>
      <c r="I10" s="2183"/>
      <c r="J10" s="2184"/>
      <c r="K10" s="2184"/>
      <c r="L10" s="2184"/>
      <c r="M10" s="2185"/>
      <c r="N10" s="2183"/>
      <c r="O10" s="2184"/>
      <c r="P10" s="2184"/>
      <c r="Q10" s="2184"/>
      <c r="R10" s="2185"/>
      <c r="S10" s="105"/>
    </row>
    <row r="11" spans="1:21" ht="15" customHeight="1">
      <c r="A11" s="1159" t="s">
        <v>105</v>
      </c>
      <c r="B11" s="2520" t="s">
        <v>237</v>
      </c>
      <c r="C11" s="2523" t="s">
        <v>408</v>
      </c>
      <c r="D11" s="2207"/>
      <c r="E11" s="2207"/>
      <c r="F11" s="2207"/>
      <c r="G11" s="2207"/>
      <c r="H11" s="2208"/>
      <c r="I11" s="2206"/>
      <c r="J11" s="2207"/>
      <c r="K11" s="2207"/>
      <c r="L11" s="2207"/>
      <c r="M11" s="2208"/>
      <c r="N11" s="2186">
        <f>N9*'16. Необходими приходи'!F24</f>
        <v>0.76592050957201729</v>
      </c>
      <c r="O11" s="2187">
        <f>O9*'16. Необходими приходи'!G24</f>
        <v>0.76681143404810936</v>
      </c>
      <c r="P11" s="2187">
        <f>P9*'16. Необходими приходи'!H24</f>
        <v>0.81365564200665386</v>
      </c>
      <c r="Q11" s="2187">
        <f>Q9*'16. Необходими приходи'!I24</f>
        <v>0.85906027952582587</v>
      </c>
      <c r="R11" s="2188">
        <f>R9*'16. Необходими приходи'!J24</f>
        <v>0.8630205950343337</v>
      </c>
      <c r="S11" s="106"/>
    </row>
    <row r="12" spans="1:21" ht="15" customHeight="1">
      <c r="A12" s="1159" t="s">
        <v>107</v>
      </c>
      <c r="B12" s="2521" t="s">
        <v>238</v>
      </c>
      <c r="C12" s="2524" t="s">
        <v>408</v>
      </c>
      <c r="D12" s="2210"/>
      <c r="E12" s="2210"/>
      <c r="F12" s="2210"/>
      <c r="G12" s="2210"/>
      <c r="H12" s="2211"/>
      <c r="I12" s="2209"/>
      <c r="J12" s="2210"/>
      <c r="K12" s="2210"/>
      <c r="L12" s="2210"/>
      <c r="M12" s="2211"/>
      <c r="N12" s="2189">
        <f>N9*'16. Необходими приходи'!F25</f>
        <v>0.95740063696502153</v>
      </c>
      <c r="O12" s="2190">
        <f>O9*'16. Необходими приходи'!G25</f>
        <v>0.95851429256013665</v>
      </c>
      <c r="P12" s="2190">
        <f>P9*'16. Необходими приходи'!H25</f>
        <v>1.0170695525083173</v>
      </c>
      <c r="Q12" s="2190">
        <f>Q9*'16. Необходими приходи'!I25</f>
        <v>1.0738253494072822</v>
      </c>
      <c r="R12" s="2191">
        <f>R9*'16. Необходими приходи'!J25</f>
        <v>1.0787757437929171</v>
      </c>
      <c r="S12" s="106"/>
      <c r="T12" s="71"/>
      <c r="U12" s="71"/>
    </row>
    <row r="13" spans="1:21" ht="15" customHeight="1" thickBot="1">
      <c r="A13" s="1160" t="s">
        <v>225</v>
      </c>
      <c r="B13" s="2522" t="s">
        <v>239</v>
      </c>
      <c r="C13" s="2525" t="s">
        <v>408</v>
      </c>
      <c r="D13" s="2213"/>
      <c r="E13" s="2213"/>
      <c r="F13" s="2213"/>
      <c r="G13" s="2213"/>
      <c r="H13" s="2214"/>
      <c r="I13" s="2212"/>
      <c r="J13" s="2213"/>
      <c r="K13" s="2213"/>
      <c r="L13" s="2213"/>
      <c r="M13" s="2214"/>
      <c r="N13" s="2192">
        <f>N9*'16. Необходими приходи'!F26</f>
        <v>1.1967507962062769</v>
      </c>
      <c r="O13" s="2193">
        <f>O9*'16. Необходими приходи'!G26</f>
        <v>1.1981428657001709</v>
      </c>
      <c r="P13" s="2193">
        <f>P9*'16. Необходими приходи'!H26</f>
        <v>1.2713369406353967</v>
      </c>
      <c r="Q13" s="2193">
        <f>Q9*'16. Необходими приходи'!I26</f>
        <v>1.3422816867591028</v>
      </c>
      <c r="R13" s="2194">
        <f>R9*'16. Необходими приходи'!J26</f>
        <v>1.3484696797411464</v>
      </c>
      <c r="S13" s="107"/>
      <c r="T13" s="71"/>
      <c r="U13" s="71"/>
    </row>
    <row r="14" spans="1:21" ht="12" customHeight="1">
      <c r="A14" s="3"/>
      <c r="B14" s="3"/>
      <c r="C14" s="3"/>
      <c r="D14" s="3"/>
      <c r="E14" s="3"/>
      <c r="F14" s="3"/>
      <c r="G14" s="3"/>
      <c r="H14" s="3"/>
      <c r="I14" s="3"/>
      <c r="J14" s="3"/>
      <c r="K14" s="3"/>
      <c r="L14" s="3"/>
      <c r="M14" s="3"/>
      <c r="N14" s="3"/>
      <c r="O14" s="3"/>
      <c r="P14" s="3"/>
      <c r="Q14" s="3"/>
      <c r="R14" s="3"/>
      <c r="T14" s="71"/>
      <c r="U14" s="71"/>
    </row>
    <row r="15" spans="1:21" ht="14.25">
      <c r="A15" s="72"/>
      <c r="B15" s="396" t="str">
        <f>'19. HB'!B35</f>
        <v>Дата: 27.06.2016г.</v>
      </c>
      <c r="C15" s="74"/>
    </row>
    <row r="16" spans="1:21" ht="15">
      <c r="K16" s="91"/>
      <c r="L16" s="91"/>
      <c r="M16" s="91"/>
      <c r="N16" s="91"/>
      <c r="O16" s="91"/>
    </row>
    <row r="17" spans="1:16">
      <c r="K17" s="292" t="str">
        <f>'14. ОПР'!D49</f>
        <v>Главен счетоводител:</v>
      </c>
      <c r="L17" s="394"/>
      <c r="M17" s="289"/>
      <c r="N17" s="219" t="s">
        <v>262</v>
      </c>
      <c r="O17" s="199"/>
      <c r="P17" s="199"/>
    </row>
    <row r="18" spans="1:16">
      <c r="L18" s="288"/>
      <c r="M18" s="220"/>
      <c r="N18" s="290"/>
      <c r="O18" s="291" t="s">
        <v>5</v>
      </c>
      <c r="P18" s="199"/>
    </row>
    <row r="19" spans="1:16">
      <c r="L19" s="288"/>
      <c r="M19" s="220"/>
      <c r="N19" s="290"/>
      <c r="O19" s="291"/>
      <c r="P19" s="199"/>
    </row>
    <row r="20" spans="1:16">
      <c r="L20" s="288"/>
      <c r="M20" s="220"/>
      <c r="N20" s="290"/>
      <c r="O20" s="291"/>
      <c r="P20" s="199"/>
    </row>
    <row r="21" spans="1:16">
      <c r="A21" s="3592"/>
      <c r="B21" s="3592"/>
      <c r="C21" s="3592"/>
      <c r="L21" s="288"/>
      <c r="M21" s="220"/>
      <c r="N21" s="290"/>
      <c r="O21" s="291"/>
      <c r="P21" s="199"/>
    </row>
    <row r="22" spans="1:16">
      <c r="A22" s="3595"/>
      <c r="B22" s="3595"/>
      <c r="C22" s="3595"/>
      <c r="L22" s="292" t="str">
        <f>'19. HB'!F40</f>
        <v>Управител:</v>
      </c>
      <c r="N22" s="219" t="s">
        <v>262</v>
      </c>
      <c r="O22" s="217"/>
      <c r="P22" s="199"/>
    </row>
    <row r="23" spans="1:16">
      <c r="C23" s="92"/>
      <c r="L23" s="288"/>
      <c r="M23" s="293"/>
      <c r="N23" s="290"/>
      <c r="O23" s="291" t="s">
        <v>6</v>
      </c>
      <c r="P23" s="199"/>
    </row>
    <row r="29" spans="1:16" ht="14.25" customHeight="1"/>
  </sheetData>
  <sheetProtection password="C6DB" sheet="1" objects="1" scenarios="1"/>
  <mergeCells count="12">
    <mergeCell ref="A21:C21"/>
    <mergeCell ref="A22:C22"/>
    <mergeCell ref="A2:R2"/>
    <mergeCell ref="A3:R3"/>
    <mergeCell ref="A4:R4"/>
    <mergeCell ref="A5:R5"/>
    <mergeCell ref="N7:R7"/>
    <mergeCell ref="I7:M7"/>
    <mergeCell ref="D7:H7"/>
    <mergeCell ref="B7:B8"/>
    <mergeCell ref="C7:C8"/>
    <mergeCell ref="A7:A8"/>
  </mergeCells>
  <printOptions horizontalCentered="1"/>
  <pageMargins left="0.78740157480314965" right="0.78740157480314965" top="1.1811023622047245" bottom="0.78740157480314965" header="0.51181102362204722" footer="0.51181102362204722"/>
  <pageSetup paperSize="9" scale="72" orientation="landscape" r:id="rId1"/>
  <headerFooter alignWithMargins="0"/>
  <ignoredErrors>
    <ignoredError sqref="D9:H13 N9:R13 I9:M13" evalError="1"/>
  </ignoredError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08"/>
  <sheetViews>
    <sheetView zoomScale="80" zoomScaleNormal="80" workbookViewId="0">
      <pane xSplit="1" ySplit="2" topLeftCell="B6" activePane="bottomRight" state="frozen"/>
      <selection pane="topRight" activeCell="B1" sqref="B1"/>
      <selection pane="bottomLeft" activeCell="A2" sqref="A2"/>
      <selection pane="bottomRight" activeCell="F8" sqref="F8"/>
    </sheetView>
  </sheetViews>
  <sheetFormatPr defaultRowHeight="12.75"/>
  <cols>
    <col min="1" max="1" width="19.85546875" style="2942" customWidth="1"/>
    <col min="2" max="2" width="13.5703125" style="2942" customWidth="1"/>
    <col min="3" max="3" width="103.28515625" style="2942" customWidth="1"/>
    <col min="4" max="4" width="30.28515625" style="2942" customWidth="1"/>
    <col min="5" max="5" width="40.140625" style="2942" customWidth="1"/>
    <col min="6" max="6" width="47.28515625" style="2942" customWidth="1"/>
    <col min="7" max="16384" width="9.140625" style="2942"/>
  </cols>
  <sheetData>
    <row r="1" spans="1:7" ht="14.25" thickBot="1">
      <c r="F1" s="2943" t="s">
        <v>750</v>
      </c>
      <c r="G1" s="2944"/>
    </row>
    <row r="2" spans="1:7" ht="50.25" customHeight="1">
      <c r="A2" s="2945" t="s">
        <v>821</v>
      </c>
      <c r="B2" s="2946" t="s">
        <v>822</v>
      </c>
      <c r="C2" s="2946" t="s">
        <v>163</v>
      </c>
      <c r="D2" s="2946" t="s">
        <v>162</v>
      </c>
      <c r="E2" s="2945" t="s">
        <v>411</v>
      </c>
      <c r="F2" s="2946" t="s">
        <v>161</v>
      </c>
    </row>
    <row r="3" spans="1:7">
      <c r="A3" s="3649" t="s">
        <v>1329</v>
      </c>
      <c r="B3" s="2947"/>
      <c r="C3" s="2948"/>
      <c r="D3" s="2949"/>
      <c r="E3" s="3655" t="s">
        <v>412</v>
      </c>
      <c r="F3" s="2950" t="s">
        <v>1425</v>
      </c>
    </row>
    <row r="4" spans="1:7" ht="127.5">
      <c r="A4" s="3650"/>
      <c r="B4" s="2951" t="s">
        <v>3</v>
      </c>
      <c r="C4" s="2952" t="s">
        <v>414</v>
      </c>
      <c r="D4" s="2953" t="s">
        <v>413</v>
      </c>
      <c r="E4" s="3656"/>
      <c r="F4" s="2954"/>
    </row>
    <row r="5" spans="1:7">
      <c r="A5" s="3651"/>
      <c r="B5" s="2955" t="s">
        <v>7</v>
      </c>
      <c r="C5" s="2956" t="s">
        <v>416</v>
      </c>
      <c r="D5" s="2957" t="s">
        <v>415</v>
      </c>
      <c r="E5" s="3657"/>
      <c r="F5" s="2958"/>
    </row>
    <row r="6" spans="1:7">
      <c r="A6" s="2959"/>
      <c r="B6" s="2959"/>
      <c r="C6" s="2960"/>
      <c r="D6" s="2959"/>
      <c r="E6" s="2959"/>
      <c r="F6" s="2961"/>
    </row>
    <row r="7" spans="1:7">
      <c r="A7" s="3649" t="s">
        <v>1328</v>
      </c>
      <c r="B7" s="2947"/>
      <c r="C7" s="2962"/>
      <c r="D7" s="2949"/>
      <c r="E7" s="3658" t="s">
        <v>417</v>
      </c>
      <c r="F7" s="2963" t="s">
        <v>1426</v>
      </c>
    </row>
    <row r="8" spans="1:7" ht="51">
      <c r="A8" s="3650"/>
      <c r="B8" s="2964" t="s">
        <v>8</v>
      </c>
      <c r="C8" s="2952" t="s">
        <v>419</v>
      </c>
      <c r="D8" s="2953" t="s">
        <v>418</v>
      </c>
      <c r="E8" s="3659"/>
      <c r="F8" s="2965" t="s">
        <v>164</v>
      </c>
    </row>
    <row r="9" spans="1:7" ht="38.25">
      <c r="A9" s="3650"/>
      <c r="B9" s="2951" t="s">
        <v>9</v>
      </c>
      <c r="C9" s="2952"/>
      <c r="D9" s="2953" t="s">
        <v>418</v>
      </c>
      <c r="E9" s="3659"/>
      <c r="F9" s="2966"/>
    </row>
    <row r="10" spans="1:7" ht="38.25">
      <c r="A10" s="3650"/>
      <c r="B10" s="2951" t="s">
        <v>10</v>
      </c>
      <c r="C10" s="2967"/>
      <c r="D10" s="2953" t="s">
        <v>418</v>
      </c>
      <c r="E10" s="3659"/>
      <c r="F10" s="2966"/>
    </row>
    <row r="11" spans="1:7" ht="38.25">
      <c r="A11" s="3650"/>
      <c r="B11" s="2951" t="s">
        <v>11</v>
      </c>
      <c r="C11" s="2952"/>
      <c r="D11" s="2953" t="s">
        <v>418</v>
      </c>
      <c r="E11" s="3659"/>
      <c r="F11" s="2966"/>
    </row>
    <row r="12" spans="1:7" ht="38.25">
      <c r="A12" s="3650"/>
      <c r="B12" s="2951" t="s">
        <v>12</v>
      </c>
      <c r="C12" s="2952"/>
      <c r="D12" s="2953" t="s">
        <v>418</v>
      </c>
      <c r="E12" s="3659"/>
      <c r="F12" s="2966"/>
    </row>
    <row r="13" spans="1:7" ht="51">
      <c r="A13" s="3650"/>
      <c r="B13" s="2964" t="s">
        <v>13</v>
      </c>
      <c r="C13" s="2952" t="s">
        <v>420</v>
      </c>
      <c r="D13" s="2953" t="s">
        <v>418</v>
      </c>
      <c r="E13" s="3659"/>
      <c r="F13" s="2965" t="s">
        <v>165</v>
      </c>
    </row>
    <row r="14" spans="1:7" ht="38.25">
      <c r="A14" s="3650"/>
      <c r="B14" s="2951" t="s">
        <v>14</v>
      </c>
      <c r="C14" s="2952"/>
      <c r="D14" s="2953" t="s">
        <v>418</v>
      </c>
      <c r="E14" s="3659"/>
      <c r="F14" s="2968"/>
    </row>
    <row r="15" spans="1:7" ht="38.25">
      <c r="A15" s="3650"/>
      <c r="B15" s="2951" t="s">
        <v>15</v>
      </c>
      <c r="C15" s="2969"/>
      <c r="D15" s="2953" t="s">
        <v>418</v>
      </c>
      <c r="E15" s="3659"/>
      <c r="F15" s="2968"/>
    </row>
    <row r="16" spans="1:7" ht="38.25">
      <c r="A16" s="3650"/>
      <c r="B16" s="2951" t="s">
        <v>16</v>
      </c>
      <c r="C16" s="2969"/>
      <c r="D16" s="2953" t="s">
        <v>418</v>
      </c>
      <c r="E16" s="3659"/>
      <c r="F16" s="2968"/>
    </row>
    <row r="17" spans="1:6" ht="38.25">
      <c r="A17" s="3651"/>
      <c r="B17" s="2955" t="s">
        <v>17</v>
      </c>
      <c r="C17" s="2970"/>
      <c r="D17" s="2957" t="s">
        <v>418</v>
      </c>
      <c r="E17" s="3660"/>
      <c r="F17" s="2958"/>
    </row>
    <row r="18" spans="1:6">
      <c r="A18" s="2959"/>
      <c r="B18" s="2959"/>
      <c r="C18" s="2960"/>
      <c r="D18" s="2959"/>
      <c r="E18" s="2959"/>
      <c r="F18" s="2961"/>
    </row>
    <row r="19" spans="1:6">
      <c r="A19" s="3649" t="s">
        <v>1330</v>
      </c>
      <c r="B19" s="2947"/>
      <c r="C19" s="2948"/>
      <c r="D19" s="2949"/>
      <c r="E19" s="3658" t="s">
        <v>417</v>
      </c>
      <c r="F19" s="2963" t="s">
        <v>1427</v>
      </c>
    </row>
    <row r="20" spans="1:6" ht="51">
      <c r="A20" s="3650"/>
      <c r="B20" s="2964" t="s">
        <v>18</v>
      </c>
      <c r="C20" s="2952" t="s">
        <v>421</v>
      </c>
      <c r="D20" s="2953" t="s">
        <v>418</v>
      </c>
      <c r="E20" s="3659"/>
      <c r="F20" s="2965" t="s">
        <v>166</v>
      </c>
    </row>
    <row r="21" spans="1:6" ht="38.25">
      <c r="A21" s="3650"/>
      <c r="B21" s="2951" t="s">
        <v>19</v>
      </c>
      <c r="C21" s="2952"/>
      <c r="D21" s="2953" t="s">
        <v>418</v>
      </c>
      <c r="E21" s="3659"/>
      <c r="F21" s="2966"/>
    </row>
    <row r="22" spans="1:6" ht="38.25">
      <c r="A22" s="3650"/>
      <c r="B22" s="2951" t="s">
        <v>20</v>
      </c>
      <c r="C22" s="2952"/>
      <c r="D22" s="2953" t="s">
        <v>418</v>
      </c>
      <c r="E22" s="3659"/>
      <c r="F22" s="2966"/>
    </row>
    <row r="23" spans="1:6" ht="38.25">
      <c r="A23" s="3650"/>
      <c r="B23" s="2951" t="s">
        <v>21</v>
      </c>
      <c r="C23" s="2952"/>
      <c r="D23" s="2953" t="s">
        <v>418</v>
      </c>
      <c r="E23" s="3659"/>
      <c r="F23" s="2966"/>
    </row>
    <row r="24" spans="1:6" ht="38.25">
      <c r="A24" s="3650"/>
      <c r="B24" s="2951" t="s">
        <v>22</v>
      </c>
      <c r="C24" s="2952"/>
      <c r="D24" s="2953" t="s">
        <v>418</v>
      </c>
      <c r="E24" s="3659"/>
      <c r="F24" s="2966"/>
    </row>
    <row r="25" spans="1:6" ht="63.75">
      <c r="A25" s="3650"/>
      <c r="B25" s="2964" t="s">
        <v>23</v>
      </c>
      <c r="C25" s="2952" t="s">
        <v>422</v>
      </c>
      <c r="D25" s="2953" t="s">
        <v>418</v>
      </c>
      <c r="E25" s="3659"/>
      <c r="F25" s="2965" t="s">
        <v>167</v>
      </c>
    </row>
    <row r="26" spans="1:6" ht="38.25">
      <c r="A26" s="3650"/>
      <c r="B26" s="2951" t="s">
        <v>24</v>
      </c>
      <c r="C26" s="2952"/>
      <c r="D26" s="2953" t="s">
        <v>418</v>
      </c>
      <c r="E26" s="3659"/>
      <c r="F26" s="2968"/>
    </row>
    <row r="27" spans="1:6" ht="38.25">
      <c r="A27" s="3650"/>
      <c r="B27" s="2951" t="s">
        <v>25</v>
      </c>
      <c r="C27" s="2952"/>
      <c r="D27" s="2953" t="s">
        <v>418</v>
      </c>
      <c r="E27" s="3659"/>
      <c r="F27" s="2968"/>
    </row>
    <row r="28" spans="1:6" ht="38.25">
      <c r="A28" s="3650"/>
      <c r="B28" s="2951" t="s">
        <v>26</v>
      </c>
      <c r="C28" s="2952"/>
      <c r="D28" s="2953" t="s">
        <v>418</v>
      </c>
      <c r="E28" s="3659"/>
      <c r="F28" s="2968"/>
    </row>
    <row r="29" spans="1:6" ht="38.25">
      <c r="A29" s="3651"/>
      <c r="B29" s="2955" t="s">
        <v>27</v>
      </c>
      <c r="C29" s="2956"/>
      <c r="D29" s="2957" t="s">
        <v>418</v>
      </c>
      <c r="E29" s="3660"/>
      <c r="F29" s="2958"/>
    </row>
    <row r="30" spans="1:6">
      <c r="A30" s="2959"/>
      <c r="B30" s="2959"/>
      <c r="C30" s="2960"/>
      <c r="D30" s="2959"/>
      <c r="E30" s="2959"/>
      <c r="F30" s="2961"/>
    </row>
    <row r="31" spans="1:6" ht="36.75" customHeight="1">
      <c r="A31" s="3650" t="s">
        <v>1327</v>
      </c>
      <c r="B31" s="2971"/>
      <c r="C31" s="2972"/>
      <c r="D31" s="2951"/>
      <c r="E31" s="3656" t="s">
        <v>423</v>
      </c>
      <c r="F31" s="2973" t="s">
        <v>1428</v>
      </c>
    </row>
    <row r="32" spans="1:6" ht="51.75" customHeight="1">
      <c r="A32" s="3650"/>
      <c r="B32" s="2951" t="s">
        <v>28</v>
      </c>
      <c r="C32" s="2974" t="s">
        <v>424</v>
      </c>
      <c r="D32" s="2953" t="s">
        <v>418</v>
      </c>
      <c r="E32" s="3656"/>
      <c r="F32" s="2954"/>
    </row>
    <row r="33" spans="1:6" ht="54" customHeight="1">
      <c r="A33" s="3650"/>
      <c r="B33" s="2951" t="s">
        <v>29</v>
      </c>
      <c r="C33" s="2952" t="s">
        <v>425</v>
      </c>
      <c r="D33" s="2953" t="s">
        <v>418</v>
      </c>
      <c r="E33" s="3656"/>
      <c r="F33" s="2968"/>
    </row>
    <row r="34" spans="1:6">
      <c r="A34" s="2959"/>
      <c r="B34" s="2959"/>
      <c r="C34" s="2960"/>
      <c r="D34" s="2959"/>
      <c r="E34" s="2959"/>
      <c r="F34" s="2961"/>
    </row>
    <row r="35" spans="1:6">
      <c r="A35" s="3649" t="s">
        <v>1331</v>
      </c>
      <c r="B35" s="2947"/>
      <c r="C35" s="2948"/>
      <c r="D35" s="2949"/>
      <c r="E35" s="3658" t="s">
        <v>426</v>
      </c>
      <c r="F35" s="2975" t="s">
        <v>168</v>
      </c>
    </row>
    <row r="36" spans="1:6" ht="38.25">
      <c r="A36" s="3650"/>
      <c r="B36" s="2951" t="s">
        <v>30</v>
      </c>
      <c r="C36" s="2952" t="s">
        <v>169</v>
      </c>
      <c r="D36" s="2953" t="s">
        <v>427</v>
      </c>
      <c r="E36" s="3659"/>
      <c r="F36" s="2954"/>
    </row>
    <row r="37" spans="1:6" ht="38.25">
      <c r="A37" s="3650"/>
      <c r="B37" s="2951" t="s">
        <v>31</v>
      </c>
      <c r="C37" s="2952" t="s">
        <v>170</v>
      </c>
      <c r="D37" s="2953" t="s">
        <v>427</v>
      </c>
      <c r="E37" s="3659"/>
      <c r="F37" s="2976"/>
    </row>
    <row r="38" spans="1:6" ht="127.5">
      <c r="A38" s="3650"/>
      <c r="B38" s="2951" t="s">
        <v>3</v>
      </c>
      <c r="C38" s="2952" t="s">
        <v>414</v>
      </c>
      <c r="D38" s="2953" t="s">
        <v>413</v>
      </c>
      <c r="E38" s="3659"/>
      <c r="F38" s="2954"/>
    </row>
    <row r="39" spans="1:6" ht="127.5">
      <c r="A39" s="3650"/>
      <c r="B39" s="2951" t="s">
        <v>32</v>
      </c>
      <c r="C39" s="2952" t="s">
        <v>1326</v>
      </c>
      <c r="D39" s="2953" t="s">
        <v>427</v>
      </c>
      <c r="E39" s="3659"/>
      <c r="F39" s="2954"/>
    </row>
    <row r="40" spans="1:6" ht="38.25">
      <c r="A40" s="3650"/>
      <c r="B40" s="2951" t="s">
        <v>33</v>
      </c>
      <c r="C40" s="2952"/>
      <c r="D40" s="2953" t="s">
        <v>427</v>
      </c>
      <c r="E40" s="3659"/>
      <c r="F40" s="2954"/>
    </row>
    <row r="41" spans="1:6" ht="63.75">
      <c r="A41" s="3651"/>
      <c r="B41" s="2955" t="s">
        <v>34</v>
      </c>
      <c r="C41" s="2956" t="s">
        <v>429</v>
      </c>
      <c r="D41" s="2957" t="s">
        <v>428</v>
      </c>
      <c r="E41" s="3660"/>
      <c r="F41" s="2977"/>
    </row>
    <row r="42" spans="1:6">
      <c r="A42" s="2959"/>
      <c r="B42" s="2959"/>
      <c r="C42" s="2960"/>
      <c r="D42" s="2959"/>
      <c r="E42" s="2959"/>
      <c r="F42" s="2961"/>
    </row>
    <row r="43" spans="1:6" ht="140.25">
      <c r="A43" s="3650" t="s">
        <v>1337</v>
      </c>
      <c r="B43" s="2951"/>
      <c r="C43" s="2952" t="s">
        <v>1424</v>
      </c>
      <c r="D43" s="2951"/>
      <c r="E43" s="3659" t="s">
        <v>430</v>
      </c>
      <c r="F43" s="2973" t="s">
        <v>1429</v>
      </c>
    </row>
    <row r="44" spans="1:6" ht="38.25">
      <c r="A44" s="3650"/>
      <c r="B44" s="2951" t="s">
        <v>49</v>
      </c>
      <c r="C44" s="2952" t="s">
        <v>453</v>
      </c>
      <c r="D44" s="2953" t="s">
        <v>452</v>
      </c>
      <c r="E44" s="3659"/>
      <c r="F44" s="2973" t="s">
        <v>1319</v>
      </c>
    </row>
    <row r="45" spans="1:6" ht="25.5">
      <c r="A45" s="3650"/>
      <c r="B45" s="2951" t="s">
        <v>1053</v>
      </c>
      <c r="C45" s="2952"/>
      <c r="D45" s="2953" t="s">
        <v>431</v>
      </c>
      <c r="E45" s="3659"/>
      <c r="F45" s="2973"/>
    </row>
    <row r="46" spans="1:6" ht="38.25">
      <c r="A46" s="3650"/>
      <c r="B46" s="2951" t="s">
        <v>35</v>
      </c>
      <c r="C46" s="2952" t="s">
        <v>433</v>
      </c>
      <c r="D46" s="2953" t="s">
        <v>432</v>
      </c>
      <c r="E46" s="3659"/>
      <c r="F46" s="2968"/>
    </row>
    <row r="47" spans="1:6" ht="38.25">
      <c r="A47" s="3650"/>
      <c r="B47" s="2978" t="s">
        <v>1054</v>
      </c>
      <c r="C47" s="2979"/>
      <c r="D47" s="2953" t="s">
        <v>452</v>
      </c>
      <c r="E47" s="2980"/>
      <c r="F47" s="2968"/>
    </row>
    <row r="48" spans="1:6">
      <c r="A48" s="2959"/>
      <c r="B48" s="2959"/>
      <c r="C48" s="2960"/>
      <c r="D48" s="2959"/>
      <c r="E48" s="2959"/>
      <c r="F48" s="2961"/>
    </row>
    <row r="49" spans="1:6">
      <c r="A49" s="3649" t="s">
        <v>1332</v>
      </c>
      <c r="B49" s="2981"/>
      <c r="C49" s="2982"/>
      <c r="D49" s="2981"/>
      <c r="E49" s="3658" t="s">
        <v>434</v>
      </c>
      <c r="F49" s="2975" t="s">
        <v>171</v>
      </c>
    </row>
    <row r="50" spans="1:6" ht="125.25" customHeight="1">
      <c r="A50" s="3650"/>
      <c r="B50" s="2951" t="s">
        <v>36</v>
      </c>
      <c r="C50" s="2952" t="s">
        <v>1325</v>
      </c>
      <c r="D50" s="2953" t="s">
        <v>427</v>
      </c>
      <c r="E50" s="3659"/>
      <c r="F50" s="2968"/>
    </row>
    <row r="51" spans="1:6" ht="51">
      <c r="A51" s="3651"/>
      <c r="B51" s="2955" t="s">
        <v>37</v>
      </c>
      <c r="C51" s="2956" t="s">
        <v>435</v>
      </c>
      <c r="D51" s="2957" t="s">
        <v>432</v>
      </c>
      <c r="E51" s="3660"/>
      <c r="F51" s="2958"/>
    </row>
    <row r="52" spans="1:6">
      <c r="A52" s="2959"/>
      <c r="B52" s="2959"/>
      <c r="C52" s="2960"/>
      <c r="D52" s="2959"/>
      <c r="E52" s="2959"/>
      <c r="F52" s="2961"/>
    </row>
    <row r="53" spans="1:6">
      <c r="A53" s="3649" t="s">
        <v>1333</v>
      </c>
      <c r="B53" s="2981"/>
      <c r="C53" s="2962"/>
      <c r="D53" s="2981"/>
      <c r="E53" s="3658" t="s">
        <v>1321</v>
      </c>
      <c r="F53" s="2975" t="s">
        <v>1320</v>
      </c>
    </row>
    <row r="54" spans="1:6" ht="51">
      <c r="A54" s="3650"/>
      <c r="B54" s="2951" t="s">
        <v>1011</v>
      </c>
      <c r="C54" s="2952" t="s">
        <v>1323</v>
      </c>
      <c r="D54" s="2953" t="s">
        <v>1322</v>
      </c>
      <c r="E54" s="3659"/>
      <c r="F54" s="2954"/>
    </row>
    <row r="55" spans="1:6" ht="38.25">
      <c r="A55" s="3651"/>
      <c r="B55" s="2955" t="s">
        <v>1012</v>
      </c>
      <c r="C55" s="2956" t="s">
        <v>1324</v>
      </c>
      <c r="D55" s="2957" t="s">
        <v>431</v>
      </c>
      <c r="E55" s="3660"/>
      <c r="F55" s="2977"/>
    </row>
    <row r="56" spans="1:6">
      <c r="A56" s="2959"/>
      <c r="B56" s="2959"/>
      <c r="C56" s="2960"/>
      <c r="D56" s="2959"/>
      <c r="E56" s="2959"/>
      <c r="F56" s="2961"/>
    </row>
    <row r="57" spans="1:6">
      <c r="A57" s="3650" t="s">
        <v>1334</v>
      </c>
      <c r="B57" s="2983"/>
      <c r="C57" s="2952"/>
      <c r="D57" s="2983"/>
      <c r="E57" s="3659" t="s">
        <v>412</v>
      </c>
      <c r="F57" s="2973" t="s">
        <v>172</v>
      </c>
    </row>
    <row r="58" spans="1:6" ht="140.25">
      <c r="A58" s="3650"/>
      <c r="B58" s="2951" t="s">
        <v>40</v>
      </c>
      <c r="C58" s="2952" t="s">
        <v>438</v>
      </c>
      <c r="D58" s="2953" t="s">
        <v>437</v>
      </c>
      <c r="E58" s="3659"/>
      <c r="F58" s="2976"/>
    </row>
    <row r="59" spans="1:6">
      <c r="A59" s="3650"/>
      <c r="B59" s="2951" t="s">
        <v>7</v>
      </c>
      <c r="C59" s="2952" t="s">
        <v>416</v>
      </c>
      <c r="D59" s="2953" t="s">
        <v>415</v>
      </c>
      <c r="E59" s="3659"/>
      <c r="F59" s="2984"/>
    </row>
    <row r="60" spans="1:6">
      <c r="A60" s="2959"/>
      <c r="B60" s="2959"/>
      <c r="C60" s="2960"/>
      <c r="D60" s="2959"/>
      <c r="E60" s="2959"/>
      <c r="F60" s="2961"/>
    </row>
    <row r="61" spans="1:6">
      <c r="A61" s="3649" t="s">
        <v>1335</v>
      </c>
      <c r="B61" s="2981"/>
      <c r="C61" s="2962"/>
      <c r="D61" s="2981"/>
      <c r="E61" s="3658" t="s">
        <v>439</v>
      </c>
      <c r="F61" s="2975" t="s">
        <v>173</v>
      </c>
    </row>
    <row r="62" spans="1:6" ht="127.5">
      <c r="A62" s="3650"/>
      <c r="B62" s="2951" t="s">
        <v>41</v>
      </c>
      <c r="C62" s="2952" t="s">
        <v>440</v>
      </c>
      <c r="D62" s="2953" t="s">
        <v>437</v>
      </c>
      <c r="E62" s="3659"/>
      <c r="F62" s="2976"/>
    </row>
    <row r="63" spans="1:6">
      <c r="A63" s="3651"/>
      <c r="B63" s="2955" t="s">
        <v>7</v>
      </c>
      <c r="C63" s="2956" t="s">
        <v>416</v>
      </c>
      <c r="D63" s="2957" t="s">
        <v>415</v>
      </c>
      <c r="E63" s="3660"/>
      <c r="F63" s="2985"/>
    </row>
    <row r="64" spans="1:6">
      <c r="A64" s="2959"/>
      <c r="B64" s="2959"/>
      <c r="C64" s="2960"/>
      <c r="D64" s="2959"/>
      <c r="E64" s="2959"/>
      <c r="F64" s="2961"/>
    </row>
    <row r="65" spans="1:6">
      <c r="A65" s="3649" t="s">
        <v>1336</v>
      </c>
      <c r="B65" s="2981"/>
      <c r="C65" s="2962"/>
      <c r="D65" s="2981"/>
      <c r="E65" s="3658" t="s">
        <v>441</v>
      </c>
      <c r="F65" s="2975" t="s">
        <v>1430</v>
      </c>
    </row>
    <row r="66" spans="1:6" ht="38.25">
      <c r="A66" s="3650"/>
      <c r="B66" s="2951" t="s">
        <v>42</v>
      </c>
      <c r="C66" s="2952" t="s">
        <v>442</v>
      </c>
      <c r="D66" s="2986" t="s">
        <v>418</v>
      </c>
      <c r="E66" s="3659"/>
      <c r="F66" s="2954"/>
    </row>
    <row r="67" spans="1:6" ht="38.25">
      <c r="A67" s="3651"/>
      <c r="B67" s="2955" t="s">
        <v>478</v>
      </c>
      <c r="C67" s="2956" t="s">
        <v>479</v>
      </c>
      <c r="D67" s="2987" t="s">
        <v>418</v>
      </c>
      <c r="E67" s="3660"/>
      <c r="F67" s="2977"/>
    </row>
    <row r="68" spans="1:6">
      <c r="A68" s="2959"/>
      <c r="B68" s="2959"/>
      <c r="C68" s="2960"/>
      <c r="D68" s="2959"/>
      <c r="E68" s="2959"/>
      <c r="F68" s="2961"/>
    </row>
    <row r="69" spans="1:6">
      <c r="A69" s="3649" t="s">
        <v>1338</v>
      </c>
      <c r="B69" s="2981"/>
      <c r="C69" s="2962"/>
      <c r="D69" s="2981"/>
      <c r="E69" s="3658" t="s">
        <v>443</v>
      </c>
      <c r="F69" s="2963" t="s">
        <v>174</v>
      </c>
    </row>
    <row r="70" spans="1:6" ht="38.25">
      <c r="A70" s="3650"/>
      <c r="B70" s="2979" t="s">
        <v>43</v>
      </c>
      <c r="C70" s="2952" t="s">
        <v>444</v>
      </c>
      <c r="D70" s="2953" t="s">
        <v>427</v>
      </c>
      <c r="E70" s="3659"/>
      <c r="F70" s="2984"/>
    </row>
    <row r="71" spans="1:6" ht="38.25">
      <c r="A71" s="3650"/>
      <c r="B71" s="2979" t="s">
        <v>44</v>
      </c>
      <c r="C71" s="2952" t="s">
        <v>175</v>
      </c>
      <c r="D71" s="2953" t="s">
        <v>427</v>
      </c>
      <c r="E71" s="3659"/>
      <c r="F71" s="2984"/>
    </row>
    <row r="72" spans="1:6" ht="38.25">
      <c r="A72" s="3650"/>
      <c r="B72" s="2979" t="s">
        <v>45</v>
      </c>
      <c r="C72" s="2952" t="s">
        <v>445</v>
      </c>
      <c r="D72" s="2953" t="s">
        <v>427</v>
      </c>
      <c r="E72" s="3659"/>
      <c r="F72" s="2984"/>
    </row>
    <row r="73" spans="1:6" ht="38.25">
      <c r="A73" s="3651"/>
      <c r="B73" s="2955" t="s">
        <v>46</v>
      </c>
      <c r="C73" s="2956" t="s">
        <v>446</v>
      </c>
      <c r="D73" s="2957" t="s">
        <v>432</v>
      </c>
      <c r="E73" s="3660"/>
      <c r="F73" s="2958"/>
    </row>
    <row r="74" spans="1:6">
      <c r="A74" s="2959"/>
      <c r="B74" s="2959"/>
      <c r="C74" s="2960"/>
      <c r="D74" s="2959"/>
      <c r="E74" s="2959"/>
      <c r="F74" s="2961"/>
    </row>
    <row r="75" spans="1:6" ht="20.25" customHeight="1">
      <c r="A75" s="3649" t="s">
        <v>1339</v>
      </c>
      <c r="B75" s="2981"/>
      <c r="C75" s="2962"/>
      <c r="D75" s="2981"/>
      <c r="E75" s="3658" t="s">
        <v>447</v>
      </c>
      <c r="F75" s="2963" t="s">
        <v>176</v>
      </c>
    </row>
    <row r="76" spans="1:6" ht="27.75" customHeight="1">
      <c r="A76" s="3650"/>
      <c r="B76" s="2979" t="s">
        <v>47</v>
      </c>
      <c r="C76" s="2952" t="s">
        <v>449</v>
      </c>
      <c r="D76" s="2953" t="s">
        <v>448</v>
      </c>
      <c r="E76" s="3659"/>
      <c r="F76" s="2984"/>
    </row>
    <row r="77" spans="1:6" ht="32.25" customHeight="1">
      <c r="A77" s="3651"/>
      <c r="B77" s="2955" t="s">
        <v>39</v>
      </c>
      <c r="C77" s="2956" t="s">
        <v>436</v>
      </c>
      <c r="D77" s="2957" t="s">
        <v>450</v>
      </c>
      <c r="E77" s="3660"/>
      <c r="F77" s="2985"/>
    </row>
    <row r="78" spans="1:6">
      <c r="A78" s="2959"/>
      <c r="B78" s="2959"/>
      <c r="C78" s="2960"/>
      <c r="D78" s="2959"/>
      <c r="E78" s="2959"/>
      <c r="F78" s="2961"/>
    </row>
    <row r="79" spans="1:6">
      <c r="A79" s="3649" t="s">
        <v>1340</v>
      </c>
      <c r="B79" s="2981"/>
      <c r="C79" s="2962"/>
      <c r="D79" s="2981"/>
      <c r="E79" s="3655" t="s">
        <v>451</v>
      </c>
      <c r="F79" s="2963" t="s">
        <v>177</v>
      </c>
    </row>
    <row r="80" spans="1:6" ht="102">
      <c r="A80" s="3650"/>
      <c r="B80" s="2979" t="s">
        <v>48</v>
      </c>
      <c r="C80" s="2952" t="s">
        <v>1437</v>
      </c>
      <c r="D80" s="2953" t="s">
        <v>452</v>
      </c>
      <c r="E80" s="3656"/>
      <c r="F80" s="2984"/>
    </row>
    <row r="81" spans="1:6" ht="38.25">
      <c r="A81" s="3651"/>
      <c r="B81" s="2967" t="s">
        <v>49</v>
      </c>
      <c r="C81" s="2956" t="s">
        <v>453</v>
      </c>
      <c r="D81" s="2957" t="s">
        <v>452</v>
      </c>
      <c r="E81" s="3657"/>
      <c r="F81" s="2985"/>
    </row>
    <row r="82" spans="1:6">
      <c r="A82" s="2959"/>
      <c r="B82" s="2959"/>
      <c r="C82" s="2960"/>
      <c r="D82" s="2959"/>
      <c r="E82" s="2959"/>
      <c r="F82" s="2961"/>
    </row>
    <row r="83" spans="1:6">
      <c r="A83" s="3649" t="s">
        <v>1341</v>
      </c>
      <c r="B83" s="2981"/>
      <c r="C83" s="2962"/>
      <c r="D83" s="2981"/>
      <c r="E83" s="3661" t="s">
        <v>454</v>
      </c>
      <c r="F83" s="2963" t="s">
        <v>178</v>
      </c>
    </row>
    <row r="84" spans="1:6" ht="38.25">
      <c r="A84" s="3650"/>
      <c r="B84" s="2979" t="s">
        <v>50</v>
      </c>
      <c r="C84" s="2952" t="s">
        <v>1438</v>
      </c>
      <c r="D84" s="2953" t="s">
        <v>452</v>
      </c>
      <c r="E84" s="3662"/>
      <c r="F84" s="2984"/>
    </row>
    <row r="85" spans="1:6" ht="38.25">
      <c r="A85" s="3651"/>
      <c r="B85" s="2967" t="s">
        <v>51</v>
      </c>
      <c r="C85" s="2956" t="s">
        <v>455</v>
      </c>
      <c r="D85" s="2957" t="s">
        <v>452</v>
      </c>
      <c r="E85" s="3663"/>
      <c r="F85" s="2985"/>
    </row>
    <row r="86" spans="1:6">
      <c r="A86" s="2959"/>
      <c r="B86" s="2959"/>
      <c r="C86" s="2960"/>
      <c r="D86" s="2959"/>
      <c r="E86" s="2959"/>
      <c r="F86" s="2961"/>
    </row>
    <row r="87" spans="1:6">
      <c r="A87" s="3649" t="s">
        <v>1342</v>
      </c>
      <c r="B87" s="2981"/>
      <c r="C87" s="2962"/>
      <c r="D87" s="2988"/>
      <c r="E87" s="3655" t="s">
        <v>456</v>
      </c>
      <c r="F87" s="2975" t="s">
        <v>1431</v>
      </c>
    </row>
    <row r="88" spans="1:6" ht="51">
      <c r="A88" s="3650"/>
      <c r="B88" s="2951" t="s">
        <v>52</v>
      </c>
      <c r="C88" s="2979" t="s">
        <v>458</v>
      </c>
      <c r="D88" s="2953" t="s">
        <v>457</v>
      </c>
      <c r="E88" s="3656"/>
      <c r="F88" s="2954"/>
    </row>
    <row r="89" spans="1:6" ht="25.5">
      <c r="A89" s="3651"/>
      <c r="B89" s="2955" t="s">
        <v>53</v>
      </c>
      <c r="C89" s="2967" t="s">
        <v>459</v>
      </c>
      <c r="D89" s="2957" t="s">
        <v>457</v>
      </c>
      <c r="E89" s="3657"/>
      <c r="F89" s="2977"/>
    </row>
    <row r="90" spans="1:6">
      <c r="A90" s="2959"/>
      <c r="B90" s="2959"/>
      <c r="C90" s="2960"/>
      <c r="D90" s="2959"/>
      <c r="E90" s="2959"/>
      <c r="F90" s="2961"/>
    </row>
    <row r="91" spans="1:6">
      <c r="A91" s="3649" t="s">
        <v>1343</v>
      </c>
      <c r="B91" s="2981"/>
      <c r="C91" s="2962"/>
      <c r="D91" s="2981"/>
      <c r="E91" s="3655" t="s">
        <v>1439</v>
      </c>
      <c r="F91" s="2963" t="s">
        <v>1432</v>
      </c>
    </row>
    <row r="92" spans="1:6" ht="25.5">
      <c r="A92" s="3650"/>
      <c r="B92" s="2951" t="s">
        <v>54</v>
      </c>
      <c r="C92" s="2952" t="s">
        <v>461</v>
      </c>
      <c r="D92" s="2953" t="s">
        <v>460</v>
      </c>
      <c r="E92" s="3656"/>
      <c r="F92" s="2954"/>
    </row>
    <row r="93" spans="1:6" ht="51">
      <c r="A93" s="3651"/>
      <c r="B93" s="2955" t="s">
        <v>37</v>
      </c>
      <c r="C93" s="2956" t="s">
        <v>462</v>
      </c>
      <c r="D93" s="2957" t="s">
        <v>432</v>
      </c>
      <c r="E93" s="3657"/>
      <c r="F93" s="2958"/>
    </row>
    <row r="94" spans="1:6">
      <c r="A94" s="2959"/>
      <c r="B94" s="2959"/>
      <c r="C94" s="2960"/>
      <c r="D94" s="2959"/>
      <c r="E94" s="2959"/>
      <c r="F94" s="2961"/>
    </row>
    <row r="95" spans="1:6" s="2992" customFormat="1">
      <c r="A95" s="3649" t="s">
        <v>1344</v>
      </c>
      <c r="B95" s="2989"/>
      <c r="C95" s="2990"/>
      <c r="D95" s="2989"/>
      <c r="E95" s="2989"/>
      <c r="F95" s="2991" t="s">
        <v>1356</v>
      </c>
    </row>
    <row r="96" spans="1:6" s="2992" customFormat="1" ht="83.25" customHeight="1">
      <c r="A96" s="3650"/>
      <c r="B96" s="2993" t="s">
        <v>1112</v>
      </c>
      <c r="C96" s="2994" t="s">
        <v>1357</v>
      </c>
      <c r="D96" s="2994" t="s">
        <v>1358</v>
      </c>
      <c r="E96" s="3664" t="s">
        <v>1359</v>
      </c>
      <c r="F96" s="2995"/>
    </row>
    <row r="97" spans="1:6" s="2992" customFormat="1" ht="48" customHeight="1">
      <c r="A97" s="3651"/>
      <c r="B97" s="2996"/>
      <c r="C97" s="2997"/>
      <c r="D97" s="2957" t="s">
        <v>432</v>
      </c>
      <c r="E97" s="3665"/>
      <c r="F97" s="2998"/>
    </row>
    <row r="98" spans="1:6">
      <c r="A98" s="2959"/>
      <c r="B98" s="2959"/>
      <c r="C98" s="2960"/>
      <c r="D98" s="2959"/>
      <c r="E98" s="2959"/>
      <c r="F98" s="2961"/>
    </row>
    <row r="99" spans="1:6">
      <c r="A99" s="3649" t="s">
        <v>1345</v>
      </c>
      <c r="B99" s="2981"/>
      <c r="C99" s="2962"/>
      <c r="D99" s="2981"/>
      <c r="E99" s="3661"/>
      <c r="F99" s="2963" t="s">
        <v>179</v>
      </c>
    </row>
    <row r="100" spans="1:6" ht="99.75" customHeight="1">
      <c r="A100" s="3650"/>
      <c r="B100" s="2979" t="s">
        <v>56</v>
      </c>
      <c r="C100" s="2952" t="s">
        <v>934</v>
      </c>
      <c r="D100" s="2979" t="s">
        <v>180</v>
      </c>
      <c r="E100" s="3662"/>
      <c r="F100" s="2984"/>
    </row>
    <row r="101" spans="1:6" ht="38.25">
      <c r="A101" s="3651"/>
      <c r="B101" s="2967" t="s">
        <v>57</v>
      </c>
      <c r="C101" s="2956" t="s">
        <v>935</v>
      </c>
      <c r="D101" s="2967" t="s">
        <v>180</v>
      </c>
      <c r="E101" s="3663"/>
      <c r="F101" s="2999"/>
    </row>
    <row r="102" spans="1:6">
      <c r="A102" s="2959"/>
      <c r="B102" s="2959"/>
      <c r="C102" s="2960"/>
      <c r="D102" s="2959"/>
      <c r="E102" s="2959"/>
      <c r="F102" s="2961"/>
    </row>
    <row r="103" spans="1:6">
      <c r="A103" s="3649" t="s">
        <v>1346</v>
      </c>
      <c r="B103" s="2981"/>
      <c r="C103" s="2982"/>
      <c r="D103" s="2981"/>
      <c r="E103" s="3655"/>
      <c r="F103" s="2975" t="s">
        <v>181</v>
      </c>
    </row>
    <row r="104" spans="1:6" ht="89.25">
      <c r="A104" s="3650"/>
      <c r="B104" s="2979" t="s">
        <v>59</v>
      </c>
      <c r="C104" s="2952" t="s">
        <v>936</v>
      </c>
      <c r="D104" s="2979" t="s">
        <v>180</v>
      </c>
      <c r="E104" s="3656"/>
      <c r="F104" s="2954"/>
    </row>
    <row r="105" spans="1:6" ht="38.25">
      <c r="A105" s="3651"/>
      <c r="B105" s="2967" t="s">
        <v>60</v>
      </c>
      <c r="C105" s="2956" t="s">
        <v>937</v>
      </c>
      <c r="D105" s="2967" t="s">
        <v>180</v>
      </c>
      <c r="E105" s="3657"/>
      <c r="F105" s="2977"/>
    </row>
    <row r="106" spans="1:6">
      <c r="A106" s="2959"/>
      <c r="B106" s="2959"/>
      <c r="C106" s="2960"/>
      <c r="D106" s="2959"/>
      <c r="E106" s="2959"/>
      <c r="F106" s="2961"/>
    </row>
    <row r="107" spans="1:6">
      <c r="A107" s="3649" t="s">
        <v>1347</v>
      </c>
      <c r="B107" s="2988"/>
      <c r="C107" s="2982"/>
      <c r="D107" s="2981"/>
      <c r="E107" s="3655"/>
      <c r="F107" s="2975" t="s">
        <v>182</v>
      </c>
    </row>
    <row r="108" spans="1:6" ht="89.25">
      <c r="A108" s="3650"/>
      <c r="B108" s="2979" t="s">
        <v>62</v>
      </c>
      <c r="C108" s="2952" t="s">
        <v>938</v>
      </c>
      <c r="D108" s="2979" t="s">
        <v>180</v>
      </c>
      <c r="E108" s="3656"/>
      <c r="F108" s="2954"/>
    </row>
    <row r="109" spans="1:6" ht="38.25">
      <c r="A109" s="3651"/>
      <c r="B109" s="2967" t="s">
        <v>63</v>
      </c>
      <c r="C109" s="2956" t="s">
        <v>939</v>
      </c>
      <c r="D109" s="2967" t="s">
        <v>180</v>
      </c>
      <c r="E109" s="3657"/>
      <c r="F109" s="2977"/>
    </row>
    <row r="110" spans="1:6">
      <c r="A110" s="2959"/>
      <c r="B110" s="2959"/>
      <c r="C110" s="2960"/>
      <c r="D110" s="2959"/>
      <c r="E110" s="2959"/>
      <c r="F110" s="2961"/>
    </row>
    <row r="111" spans="1:6">
      <c r="A111" s="3649" t="s">
        <v>1348</v>
      </c>
      <c r="B111" s="2981"/>
      <c r="C111" s="2962"/>
      <c r="D111" s="2981"/>
      <c r="E111" s="3655" t="s">
        <v>463</v>
      </c>
      <c r="F111" s="2963" t="s">
        <v>1433</v>
      </c>
    </row>
    <row r="112" spans="1:6" ht="102">
      <c r="A112" s="3650"/>
      <c r="B112" s="2979" t="s">
        <v>64</v>
      </c>
      <c r="C112" s="3000" t="s">
        <v>940</v>
      </c>
      <c r="D112" s="2979" t="s">
        <v>180</v>
      </c>
      <c r="E112" s="3656"/>
      <c r="F112" s="2984"/>
    </row>
    <row r="113" spans="1:6" ht="38.25">
      <c r="A113" s="3650"/>
      <c r="B113" s="2979" t="s">
        <v>65</v>
      </c>
      <c r="C113" s="2952" t="s">
        <v>941</v>
      </c>
      <c r="D113" s="2979" t="s">
        <v>180</v>
      </c>
      <c r="E113" s="3656"/>
      <c r="F113" s="2984"/>
    </row>
    <row r="114" spans="1:6" ht="51">
      <c r="A114" s="3651"/>
      <c r="B114" s="2967" t="s">
        <v>66</v>
      </c>
      <c r="C114" s="2956" t="s">
        <v>942</v>
      </c>
      <c r="D114" s="2967" t="s">
        <v>180</v>
      </c>
      <c r="E114" s="3657"/>
      <c r="F114" s="2985"/>
    </row>
    <row r="115" spans="1:6">
      <c r="A115" s="2959"/>
      <c r="B115" s="2959"/>
      <c r="C115" s="2960"/>
      <c r="D115" s="2959"/>
      <c r="E115" s="2959"/>
      <c r="F115" s="2961"/>
    </row>
    <row r="116" spans="1:6" s="2992" customFormat="1" ht="12.75" customHeight="1">
      <c r="A116" s="3649" t="s">
        <v>1349</v>
      </c>
      <c r="B116" s="2989"/>
      <c r="C116" s="2990"/>
      <c r="D116" s="2989"/>
      <c r="E116" s="2989"/>
      <c r="F116" s="2991" t="s">
        <v>1360</v>
      </c>
    </row>
    <row r="117" spans="1:6" s="2992" customFormat="1" ht="51">
      <c r="A117" s="3650"/>
      <c r="B117" s="3001" t="s">
        <v>1114</v>
      </c>
      <c r="C117" s="3002" t="s">
        <v>1363</v>
      </c>
      <c r="D117" s="2994" t="s">
        <v>1364</v>
      </c>
      <c r="E117" s="2994" t="s">
        <v>1365</v>
      </c>
      <c r="F117" s="2995"/>
    </row>
    <row r="118" spans="1:6" s="2992" customFormat="1" ht="25.5">
      <c r="A118" s="3650"/>
      <c r="B118" s="3001" t="s">
        <v>1118</v>
      </c>
      <c r="C118" s="3002" t="s">
        <v>1362</v>
      </c>
      <c r="D118" s="3001"/>
      <c r="E118" s="3001"/>
      <c r="F118" s="2995"/>
    </row>
    <row r="119" spans="1:6" s="2992" customFormat="1">
      <c r="A119" s="3651"/>
      <c r="B119" s="2996"/>
      <c r="C119" s="3003" t="s">
        <v>1366</v>
      </c>
      <c r="D119" s="2996"/>
      <c r="E119" s="2996"/>
      <c r="F119" s="2998"/>
    </row>
    <row r="120" spans="1:6">
      <c r="A120" s="2959"/>
      <c r="B120" s="2959"/>
      <c r="C120" s="2960"/>
      <c r="D120" s="2959"/>
      <c r="E120" s="2959"/>
      <c r="F120" s="2961"/>
    </row>
    <row r="121" spans="1:6" s="2992" customFormat="1" ht="12.75" customHeight="1">
      <c r="A121" s="3649" t="s">
        <v>1350</v>
      </c>
      <c r="B121" s="2989"/>
      <c r="C121" s="2990"/>
      <c r="D121" s="2989"/>
      <c r="E121" s="2989"/>
      <c r="F121" s="2991" t="s">
        <v>1361</v>
      </c>
    </row>
    <row r="122" spans="1:6" s="2992" customFormat="1" ht="51">
      <c r="A122" s="3651"/>
      <c r="B122" s="2996" t="s">
        <v>1120</v>
      </c>
      <c r="C122" s="3003" t="s">
        <v>1367</v>
      </c>
      <c r="D122" s="3004" t="s">
        <v>1364</v>
      </c>
      <c r="E122" s="3004" t="s">
        <v>1365</v>
      </c>
      <c r="F122" s="2998"/>
    </row>
    <row r="123" spans="1:6">
      <c r="A123" s="2959"/>
      <c r="B123" s="2959"/>
      <c r="C123" s="2960"/>
      <c r="D123" s="2959"/>
      <c r="E123" s="2959"/>
      <c r="F123" s="2961"/>
    </row>
    <row r="124" spans="1:6">
      <c r="A124" s="3649" t="s">
        <v>1351</v>
      </c>
      <c r="B124" s="2988"/>
      <c r="C124" s="2982"/>
      <c r="D124" s="2949"/>
      <c r="E124" s="3658" t="s">
        <v>464</v>
      </c>
      <c r="F124" s="2975" t="s">
        <v>1434</v>
      </c>
    </row>
    <row r="125" spans="1:6" ht="76.5">
      <c r="A125" s="3650"/>
      <c r="B125" s="3005" t="s">
        <v>67</v>
      </c>
      <c r="C125" s="3006" t="s">
        <v>465</v>
      </c>
      <c r="D125" s="2953" t="s">
        <v>448</v>
      </c>
      <c r="E125" s="3659"/>
      <c r="F125" s="2973" t="s">
        <v>183</v>
      </c>
    </row>
    <row r="126" spans="1:6" ht="25.5">
      <c r="A126" s="3650"/>
      <c r="B126" s="2979" t="s">
        <v>68</v>
      </c>
      <c r="C126" s="2969"/>
      <c r="D126" s="2953" t="s">
        <v>448</v>
      </c>
      <c r="E126" s="3659"/>
      <c r="F126" s="2976"/>
    </row>
    <row r="127" spans="1:6" ht="25.5">
      <c r="A127" s="3650"/>
      <c r="B127" s="2979" t="s">
        <v>69</v>
      </c>
      <c r="C127" s="2969"/>
      <c r="D127" s="2953" t="s">
        <v>448</v>
      </c>
      <c r="E127" s="3659"/>
      <c r="F127" s="2976"/>
    </row>
    <row r="128" spans="1:6" ht="25.5">
      <c r="A128" s="3650"/>
      <c r="B128" s="2979" t="s">
        <v>70</v>
      </c>
      <c r="C128" s="2969"/>
      <c r="D128" s="2953" t="s">
        <v>448</v>
      </c>
      <c r="E128" s="3659"/>
      <c r="F128" s="2976"/>
    </row>
    <row r="129" spans="1:6" ht="76.5">
      <c r="A129" s="3650"/>
      <c r="B129" s="3005" t="s">
        <v>71</v>
      </c>
      <c r="C129" s="3006" t="s">
        <v>466</v>
      </c>
      <c r="D129" s="2953" t="s">
        <v>448</v>
      </c>
      <c r="E129" s="3659"/>
      <c r="F129" s="2973" t="s">
        <v>184</v>
      </c>
    </row>
    <row r="130" spans="1:6" ht="25.5">
      <c r="A130" s="3650"/>
      <c r="B130" s="3007" t="s">
        <v>72</v>
      </c>
      <c r="C130" s="2969"/>
      <c r="D130" s="2953" t="s">
        <v>448</v>
      </c>
      <c r="E130" s="3659"/>
      <c r="F130" s="2973" t="s">
        <v>185</v>
      </c>
    </row>
    <row r="131" spans="1:6" ht="25.5">
      <c r="A131" s="3650"/>
      <c r="B131" s="2979" t="s">
        <v>38</v>
      </c>
      <c r="C131" s="2979"/>
      <c r="D131" s="2953" t="s">
        <v>448</v>
      </c>
      <c r="E131" s="3659"/>
      <c r="F131" s="2984"/>
    </row>
    <row r="132" spans="1:6" ht="25.5">
      <c r="A132" s="3650"/>
      <c r="B132" s="2979" t="s">
        <v>73</v>
      </c>
      <c r="C132" s="2951"/>
      <c r="D132" s="2953" t="s">
        <v>448</v>
      </c>
      <c r="E132" s="3659"/>
      <c r="F132" s="2966"/>
    </row>
    <row r="133" spans="1:6" ht="25.5">
      <c r="A133" s="3650"/>
      <c r="B133" s="2979" t="s">
        <v>74</v>
      </c>
      <c r="C133" s="2951"/>
      <c r="D133" s="2953" t="s">
        <v>448</v>
      </c>
      <c r="E133" s="3659"/>
      <c r="F133" s="2984"/>
    </row>
    <row r="134" spans="1:6" ht="25.5">
      <c r="A134" s="3650"/>
      <c r="B134" s="2979" t="s">
        <v>75</v>
      </c>
      <c r="C134" s="2951"/>
      <c r="D134" s="2953" t="s">
        <v>448</v>
      </c>
      <c r="E134" s="3659"/>
      <c r="F134" s="2954"/>
    </row>
    <row r="135" spans="1:6" ht="25.5">
      <c r="A135" s="3650"/>
      <c r="B135" s="3007" t="s">
        <v>76</v>
      </c>
      <c r="C135" s="2972"/>
      <c r="D135" s="2953" t="s">
        <v>448</v>
      </c>
      <c r="E135" s="3659"/>
      <c r="F135" s="2965" t="s">
        <v>186</v>
      </c>
    </row>
    <row r="136" spans="1:6" ht="25.5">
      <c r="A136" s="3650"/>
      <c r="B136" s="2979" t="s">
        <v>77</v>
      </c>
      <c r="C136" s="2972"/>
      <c r="D136" s="2953" t="s">
        <v>448</v>
      </c>
      <c r="E136" s="3659"/>
      <c r="F136" s="2966"/>
    </row>
    <row r="137" spans="1:6" ht="25.5">
      <c r="A137" s="3650"/>
      <c r="B137" s="2979" t="s">
        <v>78</v>
      </c>
      <c r="C137" s="2972"/>
      <c r="D137" s="2953" t="s">
        <v>448</v>
      </c>
      <c r="E137" s="3659"/>
      <c r="F137" s="2966"/>
    </row>
    <row r="138" spans="1:6" ht="25.5">
      <c r="A138" s="3650"/>
      <c r="B138" s="2979" t="s">
        <v>79</v>
      </c>
      <c r="C138" s="2972"/>
      <c r="D138" s="2953" t="s">
        <v>448</v>
      </c>
      <c r="E138" s="3659"/>
      <c r="F138" s="2966"/>
    </row>
    <row r="139" spans="1:6" ht="25.5">
      <c r="A139" s="3650"/>
      <c r="B139" s="2979" t="s">
        <v>80</v>
      </c>
      <c r="C139" s="2972"/>
      <c r="D139" s="2953" t="s">
        <v>448</v>
      </c>
      <c r="E139" s="3659"/>
      <c r="F139" s="2966"/>
    </row>
    <row r="140" spans="1:6" ht="25.5">
      <c r="A140" s="3651"/>
      <c r="B140" s="2967" t="s">
        <v>81</v>
      </c>
      <c r="C140" s="3008"/>
      <c r="D140" s="2957" t="s">
        <v>448</v>
      </c>
      <c r="E140" s="3660"/>
      <c r="F140" s="3009"/>
    </row>
    <row r="141" spans="1:6">
      <c r="A141" s="2959"/>
      <c r="B141" s="2959"/>
      <c r="C141" s="2960"/>
      <c r="D141" s="2959"/>
      <c r="E141" s="2959"/>
      <c r="F141" s="2961"/>
    </row>
    <row r="142" spans="1:6">
      <c r="A142" s="3649" t="s">
        <v>1355</v>
      </c>
      <c r="B142" s="2981"/>
      <c r="C142" s="2962"/>
      <c r="D142" s="2981"/>
      <c r="E142" s="3655" t="s">
        <v>467</v>
      </c>
      <c r="F142" s="2963" t="s">
        <v>1435</v>
      </c>
    </row>
    <row r="143" spans="1:6" ht="38.25">
      <c r="A143" s="3650"/>
      <c r="B143" s="2979" t="s">
        <v>82</v>
      </c>
      <c r="C143" s="2952" t="s">
        <v>469</v>
      </c>
      <c r="D143" s="2953" t="s">
        <v>468</v>
      </c>
      <c r="E143" s="3656"/>
      <c r="F143" s="2966"/>
    </row>
    <row r="144" spans="1:6" ht="38.25">
      <c r="A144" s="3651"/>
      <c r="B144" s="2967" t="s">
        <v>83</v>
      </c>
      <c r="C144" s="2956" t="s">
        <v>470</v>
      </c>
      <c r="D144" s="2957" t="s">
        <v>468</v>
      </c>
      <c r="E144" s="3657"/>
      <c r="F144" s="2977"/>
    </row>
    <row r="145" spans="1:6">
      <c r="A145" s="3010"/>
      <c r="B145" s="2959"/>
      <c r="C145" s="2960"/>
      <c r="D145" s="2959"/>
      <c r="E145" s="2959"/>
      <c r="F145" s="2961"/>
    </row>
    <row r="146" spans="1:6">
      <c r="A146" s="3649" t="s">
        <v>1354</v>
      </c>
      <c r="B146" s="2988"/>
      <c r="C146" s="2982"/>
      <c r="D146" s="2949"/>
      <c r="E146" s="3655" t="s">
        <v>471</v>
      </c>
      <c r="F146" s="2963" t="s">
        <v>1436</v>
      </c>
    </row>
    <row r="147" spans="1:6" ht="38.25">
      <c r="A147" s="3650"/>
      <c r="B147" s="2979" t="s">
        <v>84</v>
      </c>
      <c r="C147" s="2952" t="s">
        <v>472</v>
      </c>
      <c r="D147" s="2953" t="s">
        <v>468</v>
      </c>
      <c r="E147" s="3656"/>
      <c r="F147" s="2954"/>
    </row>
    <row r="148" spans="1:6" ht="38.25">
      <c r="A148" s="3651"/>
      <c r="B148" s="2967" t="s">
        <v>85</v>
      </c>
      <c r="C148" s="2956" t="s">
        <v>473</v>
      </c>
      <c r="D148" s="2957" t="s">
        <v>468</v>
      </c>
      <c r="E148" s="3657"/>
      <c r="F148" s="2977"/>
    </row>
    <row r="149" spans="1:6">
      <c r="A149" s="3010"/>
      <c r="B149" s="2959"/>
      <c r="C149" s="2960"/>
      <c r="D149" s="2959"/>
      <c r="E149" s="2959"/>
      <c r="F149" s="2961"/>
    </row>
    <row r="150" spans="1:6">
      <c r="A150" s="3652" t="s">
        <v>1352</v>
      </c>
      <c r="B150" s="2981"/>
      <c r="C150" s="2962"/>
      <c r="D150" s="2981"/>
      <c r="E150" s="3655" t="s">
        <v>474</v>
      </c>
      <c r="F150" s="2963" t="s">
        <v>187</v>
      </c>
    </row>
    <row r="151" spans="1:6" ht="38.25">
      <c r="A151" s="3653"/>
      <c r="B151" s="2979" t="s">
        <v>86</v>
      </c>
      <c r="C151" s="2974" t="s">
        <v>943</v>
      </c>
      <c r="D151" s="3011" t="s">
        <v>475</v>
      </c>
      <c r="E151" s="3656"/>
      <c r="F151" s="2984"/>
    </row>
    <row r="152" spans="1:6" ht="25.5">
      <c r="A152" s="3654"/>
      <c r="B152" s="2955" t="s">
        <v>87</v>
      </c>
      <c r="C152" s="3012" t="s">
        <v>476</v>
      </c>
      <c r="D152" s="3013" t="s">
        <v>189</v>
      </c>
      <c r="E152" s="3657"/>
      <c r="F152" s="2977"/>
    </row>
    <row r="153" spans="1:6">
      <c r="A153" s="3010"/>
      <c r="B153" s="2959"/>
      <c r="C153" s="2960"/>
      <c r="D153" s="2959"/>
      <c r="E153" s="2959"/>
      <c r="F153" s="2961"/>
    </row>
    <row r="154" spans="1:6">
      <c r="A154" s="3652" t="s">
        <v>1353</v>
      </c>
      <c r="B154" s="2981"/>
      <c r="C154" s="2962"/>
      <c r="D154" s="2981"/>
      <c r="E154" s="3655" t="s">
        <v>474</v>
      </c>
      <c r="F154" s="2963" t="s">
        <v>190</v>
      </c>
    </row>
    <row r="155" spans="1:6" ht="38.25">
      <c r="A155" s="3653"/>
      <c r="B155" s="2979" t="s">
        <v>88</v>
      </c>
      <c r="C155" s="2974" t="s">
        <v>944</v>
      </c>
      <c r="D155" s="3011" t="s">
        <v>188</v>
      </c>
      <c r="E155" s="3656"/>
      <c r="F155" s="2984"/>
    </row>
    <row r="156" spans="1:6" ht="25.5">
      <c r="A156" s="3654"/>
      <c r="B156" s="2967" t="s">
        <v>89</v>
      </c>
      <c r="C156" s="3012" t="s">
        <v>477</v>
      </c>
      <c r="D156" s="3013" t="s">
        <v>189</v>
      </c>
      <c r="E156" s="3657"/>
      <c r="F156" s="2977"/>
    </row>
    <row r="157" spans="1:6">
      <c r="A157" s="3014"/>
      <c r="B157" s="3014"/>
      <c r="C157" s="3015"/>
      <c r="D157" s="3014"/>
      <c r="E157" s="3014"/>
      <c r="F157" s="3016"/>
    </row>
    <row r="158" spans="1:6">
      <c r="A158" s="3017"/>
      <c r="B158" s="3017"/>
      <c r="C158" s="3017"/>
      <c r="D158" s="3017"/>
      <c r="E158" s="3017"/>
      <c r="F158" s="3018"/>
    </row>
    <row r="159" spans="1:6">
      <c r="A159" s="3017"/>
      <c r="B159" s="3017"/>
      <c r="C159" s="3017"/>
      <c r="D159" s="3017"/>
      <c r="E159" s="3017"/>
      <c r="F159" s="3018"/>
    </row>
    <row r="160" spans="1:6">
      <c r="A160" s="3017"/>
      <c r="B160" s="3017"/>
      <c r="C160" s="3017"/>
      <c r="D160" s="3017"/>
      <c r="E160" s="3017"/>
      <c r="F160" s="3018"/>
    </row>
    <row r="161" spans="1:6">
      <c r="A161" s="3017"/>
      <c r="B161" s="3017"/>
      <c r="C161" s="3017"/>
      <c r="D161" s="3017"/>
      <c r="E161" s="3017"/>
      <c r="F161" s="3018"/>
    </row>
    <row r="162" spans="1:6">
      <c r="A162" s="3017"/>
      <c r="B162" s="3017"/>
      <c r="C162" s="3017"/>
      <c r="D162" s="3017"/>
      <c r="E162" s="3017"/>
      <c r="F162" s="3018"/>
    </row>
    <row r="163" spans="1:6">
      <c r="A163" s="3017"/>
      <c r="B163" s="3017"/>
      <c r="C163" s="3017"/>
      <c r="D163" s="3017"/>
      <c r="E163" s="3017"/>
      <c r="F163" s="3018"/>
    </row>
    <row r="164" spans="1:6">
      <c r="A164" s="3017"/>
      <c r="B164" s="3017"/>
      <c r="C164" s="3017"/>
      <c r="D164" s="3017"/>
      <c r="E164" s="3017"/>
      <c r="F164" s="3018"/>
    </row>
    <row r="165" spans="1:6">
      <c r="A165" s="3017"/>
      <c r="B165" s="3017"/>
      <c r="C165" s="3017"/>
      <c r="D165" s="3017"/>
      <c r="E165" s="3017"/>
      <c r="F165" s="3018"/>
    </row>
    <row r="166" spans="1:6">
      <c r="A166" s="3017"/>
      <c r="B166" s="3017"/>
      <c r="C166" s="3017"/>
      <c r="D166" s="3017"/>
      <c r="E166" s="3017"/>
      <c r="F166" s="3018"/>
    </row>
    <row r="167" spans="1:6">
      <c r="A167" s="3017"/>
      <c r="B167" s="3017"/>
      <c r="C167" s="3017"/>
      <c r="D167" s="3017"/>
      <c r="E167" s="3017"/>
      <c r="F167" s="3018"/>
    </row>
    <row r="168" spans="1:6">
      <c r="A168" s="3017"/>
      <c r="B168" s="3017"/>
      <c r="C168" s="3017"/>
      <c r="D168" s="3017"/>
      <c r="E168" s="3017"/>
      <c r="F168" s="3018"/>
    </row>
    <row r="169" spans="1:6">
      <c r="A169" s="3017"/>
      <c r="B169" s="3017"/>
      <c r="C169" s="3017"/>
      <c r="D169" s="3017"/>
      <c r="E169" s="3017"/>
      <c r="F169" s="3018"/>
    </row>
    <row r="170" spans="1:6">
      <c r="F170" s="3019"/>
    </row>
    <row r="171" spans="1:6">
      <c r="F171" s="3019"/>
    </row>
    <row r="172" spans="1:6">
      <c r="F172" s="3019"/>
    </row>
    <row r="173" spans="1:6">
      <c r="F173" s="3019"/>
    </row>
    <row r="174" spans="1:6">
      <c r="F174" s="3019"/>
    </row>
    <row r="175" spans="1:6">
      <c r="F175" s="3019"/>
    </row>
    <row r="176" spans="1:6">
      <c r="F176" s="3019"/>
    </row>
    <row r="177" spans="6:6">
      <c r="F177" s="3019"/>
    </row>
    <row r="178" spans="6:6">
      <c r="F178" s="3019"/>
    </row>
    <row r="179" spans="6:6">
      <c r="F179" s="3019"/>
    </row>
    <row r="180" spans="6:6">
      <c r="F180" s="3019"/>
    </row>
    <row r="181" spans="6:6">
      <c r="F181" s="3019"/>
    </row>
    <row r="182" spans="6:6">
      <c r="F182" s="3019"/>
    </row>
    <row r="183" spans="6:6">
      <c r="F183" s="3019"/>
    </row>
    <row r="184" spans="6:6">
      <c r="F184" s="3019"/>
    </row>
    <row r="185" spans="6:6">
      <c r="F185" s="3019"/>
    </row>
    <row r="186" spans="6:6">
      <c r="F186" s="3019"/>
    </row>
    <row r="187" spans="6:6">
      <c r="F187" s="3019"/>
    </row>
    <row r="188" spans="6:6">
      <c r="F188" s="3019"/>
    </row>
    <row r="189" spans="6:6">
      <c r="F189" s="3019"/>
    </row>
    <row r="190" spans="6:6">
      <c r="F190" s="3019"/>
    </row>
    <row r="191" spans="6:6">
      <c r="F191" s="3019"/>
    </row>
    <row r="192" spans="6:6">
      <c r="F192" s="3019"/>
    </row>
    <row r="193" spans="6:6">
      <c r="F193" s="3019"/>
    </row>
    <row r="194" spans="6:6">
      <c r="F194" s="3019"/>
    </row>
    <row r="195" spans="6:6">
      <c r="F195" s="3019"/>
    </row>
    <row r="196" spans="6:6">
      <c r="F196" s="3019"/>
    </row>
    <row r="197" spans="6:6">
      <c r="F197" s="3019"/>
    </row>
    <row r="198" spans="6:6">
      <c r="F198" s="3019"/>
    </row>
    <row r="199" spans="6:6">
      <c r="F199" s="3019"/>
    </row>
    <row r="200" spans="6:6">
      <c r="F200" s="3019"/>
    </row>
    <row r="201" spans="6:6">
      <c r="F201" s="3019"/>
    </row>
    <row r="202" spans="6:6">
      <c r="F202" s="3019"/>
    </row>
    <row r="203" spans="6:6">
      <c r="F203" s="3019"/>
    </row>
    <row r="204" spans="6:6">
      <c r="F204" s="3019"/>
    </row>
    <row r="205" spans="6:6">
      <c r="F205" s="3019"/>
    </row>
    <row r="206" spans="6:6">
      <c r="F206" s="3019"/>
    </row>
    <row r="207" spans="6:6">
      <c r="F207" s="3019"/>
    </row>
    <row r="208" spans="6:6">
      <c r="F208" s="3019"/>
    </row>
    <row r="209" spans="6:6">
      <c r="F209" s="3019"/>
    </row>
    <row r="210" spans="6:6">
      <c r="F210" s="3019"/>
    </row>
    <row r="211" spans="6:6">
      <c r="F211" s="3019"/>
    </row>
    <row r="212" spans="6:6">
      <c r="F212" s="3019"/>
    </row>
    <row r="213" spans="6:6">
      <c r="F213" s="3019"/>
    </row>
    <row r="214" spans="6:6">
      <c r="F214" s="3019"/>
    </row>
    <row r="215" spans="6:6">
      <c r="F215" s="3019"/>
    </row>
    <row r="216" spans="6:6">
      <c r="F216" s="3019"/>
    </row>
    <row r="217" spans="6:6">
      <c r="F217" s="3019"/>
    </row>
    <row r="218" spans="6:6">
      <c r="F218" s="3019"/>
    </row>
    <row r="219" spans="6:6">
      <c r="F219" s="3019"/>
    </row>
    <row r="220" spans="6:6">
      <c r="F220" s="3019"/>
    </row>
    <row r="221" spans="6:6">
      <c r="F221" s="3019"/>
    </row>
    <row r="222" spans="6:6">
      <c r="F222" s="3019"/>
    </row>
    <row r="223" spans="6:6">
      <c r="F223" s="3019"/>
    </row>
    <row r="224" spans="6:6">
      <c r="F224" s="3019"/>
    </row>
    <row r="225" spans="6:6">
      <c r="F225" s="3019"/>
    </row>
    <row r="226" spans="6:6">
      <c r="F226" s="3019"/>
    </row>
    <row r="227" spans="6:6">
      <c r="F227" s="3019"/>
    </row>
    <row r="228" spans="6:6">
      <c r="F228" s="3019"/>
    </row>
    <row r="229" spans="6:6">
      <c r="F229" s="3019"/>
    </row>
    <row r="230" spans="6:6">
      <c r="F230" s="3019"/>
    </row>
    <row r="231" spans="6:6">
      <c r="F231" s="3019"/>
    </row>
    <row r="232" spans="6:6">
      <c r="F232" s="3019"/>
    </row>
    <row r="233" spans="6:6">
      <c r="F233" s="3019"/>
    </row>
    <row r="234" spans="6:6">
      <c r="F234" s="3019"/>
    </row>
    <row r="235" spans="6:6">
      <c r="F235" s="3019"/>
    </row>
    <row r="236" spans="6:6">
      <c r="F236" s="3019"/>
    </row>
    <row r="237" spans="6:6">
      <c r="F237" s="3019"/>
    </row>
    <row r="238" spans="6:6">
      <c r="F238" s="3019"/>
    </row>
    <row r="239" spans="6:6">
      <c r="F239" s="3019"/>
    </row>
    <row r="240" spans="6:6">
      <c r="F240" s="3019"/>
    </row>
    <row r="241" spans="6:6">
      <c r="F241" s="3019"/>
    </row>
    <row r="242" spans="6:6">
      <c r="F242" s="3019"/>
    </row>
    <row r="243" spans="6:6">
      <c r="F243" s="3019"/>
    </row>
    <row r="244" spans="6:6">
      <c r="F244" s="3019"/>
    </row>
    <row r="245" spans="6:6">
      <c r="F245" s="3019"/>
    </row>
    <row r="246" spans="6:6">
      <c r="F246" s="3019"/>
    </row>
    <row r="247" spans="6:6">
      <c r="F247" s="3019"/>
    </row>
    <row r="248" spans="6:6">
      <c r="F248" s="3019"/>
    </row>
    <row r="249" spans="6:6">
      <c r="F249" s="3019"/>
    </row>
    <row r="250" spans="6:6">
      <c r="F250" s="3019"/>
    </row>
    <row r="251" spans="6:6">
      <c r="F251" s="3019"/>
    </row>
    <row r="252" spans="6:6">
      <c r="F252" s="3019"/>
    </row>
    <row r="253" spans="6:6">
      <c r="F253" s="3019"/>
    </row>
    <row r="254" spans="6:6">
      <c r="F254" s="3019"/>
    </row>
    <row r="255" spans="6:6">
      <c r="F255" s="3019"/>
    </row>
    <row r="256" spans="6:6">
      <c r="F256" s="3019"/>
    </row>
    <row r="257" spans="6:6">
      <c r="F257" s="3019"/>
    </row>
    <row r="258" spans="6:6">
      <c r="F258" s="3019"/>
    </row>
    <row r="259" spans="6:6">
      <c r="F259" s="3019"/>
    </row>
    <row r="260" spans="6:6">
      <c r="F260" s="3019"/>
    </row>
    <row r="261" spans="6:6">
      <c r="F261" s="3019"/>
    </row>
    <row r="262" spans="6:6">
      <c r="F262" s="3019"/>
    </row>
    <row r="263" spans="6:6">
      <c r="F263" s="3019"/>
    </row>
    <row r="264" spans="6:6">
      <c r="F264" s="3019"/>
    </row>
    <row r="265" spans="6:6">
      <c r="F265" s="3019"/>
    </row>
    <row r="266" spans="6:6">
      <c r="F266" s="3019"/>
    </row>
    <row r="267" spans="6:6">
      <c r="F267" s="3019"/>
    </row>
    <row r="268" spans="6:6">
      <c r="F268" s="3019"/>
    </row>
    <row r="269" spans="6:6">
      <c r="F269" s="3019"/>
    </row>
    <row r="270" spans="6:6">
      <c r="F270" s="3019"/>
    </row>
    <row r="271" spans="6:6">
      <c r="F271" s="3019"/>
    </row>
    <row r="272" spans="6:6">
      <c r="F272" s="3019"/>
    </row>
    <row r="273" spans="6:6">
      <c r="F273" s="3019"/>
    </row>
    <row r="274" spans="6:6">
      <c r="F274" s="3019"/>
    </row>
    <row r="275" spans="6:6">
      <c r="F275" s="3019"/>
    </row>
    <row r="276" spans="6:6">
      <c r="F276" s="3019"/>
    </row>
    <row r="277" spans="6:6">
      <c r="F277" s="3019"/>
    </row>
    <row r="278" spans="6:6">
      <c r="F278" s="3019"/>
    </row>
    <row r="279" spans="6:6">
      <c r="F279" s="3019"/>
    </row>
    <row r="280" spans="6:6">
      <c r="F280" s="3019"/>
    </row>
    <row r="281" spans="6:6">
      <c r="F281" s="3019"/>
    </row>
    <row r="282" spans="6:6">
      <c r="F282" s="3019"/>
    </row>
    <row r="283" spans="6:6">
      <c r="F283" s="3019"/>
    </row>
    <row r="284" spans="6:6">
      <c r="F284" s="3019"/>
    </row>
    <row r="285" spans="6:6">
      <c r="F285" s="3019"/>
    </row>
    <row r="286" spans="6:6">
      <c r="F286" s="3019"/>
    </row>
    <row r="287" spans="6:6">
      <c r="F287" s="3019"/>
    </row>
    <row r="288" spans="6:6">
      <c r="F288" s="3019"/>
    </row>
    <row r="289" spans="6:6">
      <c r="F289" s="3019"/>
    </row>
    <row r="290" spans="6:6">
      <c r="F290" s="3019"/>
    </row>
    <row r="291" spans="6:6">
      <c r="F291" s="3019"/>
    </row>
    <row r="292" spans="6:6">
      <c r="F292" s="3019"/>
    </row>
    <row r="293" spans="6:6">
      <c r="F293" s="3019"/>
    </row>
    <row r="294" spans="6:6">
      <c r="F294" s="3019"/>
    </row>
    <row r="295" spans="6:6">
      <c r="F295" s="3019"/>
    </row>
    <row r="296" spans="6:6">
      <c r="F296" s="3019"/>
    </row>
    <row r="297" spans="6:6">
      <c r="F297" s="3019"/>
    </row>
    <row r="298" spans="6:6">
      <c r="F298" s="3019"/>
    </row>
    <row r="299" spans="6:6">
      <c r="F299" s="3019"/>
    </row>
    <row r="300" spans="6:6">
      <c r="F300" s="3019"/>
    </row>
    <row r="301" spans="6:6">
      <c r="F301" s="3019"/>
    </row>
    <row r="302" spans="6:6">
      <c r="F302" s="3019"/>
    </row>
    <row r="303" spans="6:6">
      <c r="F303" s="3019"/>
    </row>
    <row r="304" spans="6:6">
      <c r="F304" s="3019"/>
    </row>
    <row r="305" spans="6:6">
      <c r="F305" s="3019"/>
    </row>
    <row r="306" spans="6:6">
      <c r="F306" s="3019"/>
    </row>
    <row r="307" spans="6:6">
      <c r="F307" s="3019"/>
    </row>
    <row r="308" spans="6:6">
      <c r="F308" s="3019"/>
    </row>
  </sheetData>
  <sheetProtection password="C6DB" sheet="1" objects="1" scenarios="1"/>
  <autoFilter ref="A2:F157"/>
  <mergeCells count="56">
    <mergeCell ref="E43:E46"/>
    <mergeCell ref="E3:E5"/>
    <mergeCell ref="E7:E17"/>
    <mergeCell ref="E19:E29"/>
    <mergeCell ref="E31:E33"/>
    <mergeCell ref="E35:E41"/>
    <mergeCell ref="E99:E101"/>
    <mergeCell ref="E49:E51"/>
    <mergeCell ref="E53:E55"/>
    <mergeCell ref="E57:E59"/>
    <mergeCell ref="E61:E63"/>
    <mergeCell ref="E65:E67"/>
    <mergeCell ref="E69:E73"/>
    <mergeCell ref="E75:E77"/>
    <mergeCell ref="E79:E81"/>
    <mergeCell ref="E83:E85"/>
    <mergeCell ref="E87:E89"/>
    <mergeCell ref="E91:E93"/>
    <mergeCell ref="E96:E97"/>
    <mergeCell ref="E150:E152"/>
    <mergeCell ref="E154:E156"/>
    <mergeCell ref="E103:E105"/>
    <mergeCell ref="E107:E109"/>
    <mergeCell ref="E111:E114"/>
    <mergeCell ref="E124:E140"/>
    <mergeCell ref="E142:E144"/>
    <mergeCell ref="E146:E148"/>
    <mergeCell ref="A3:A5"/>
    <mergeCell ref="A7:A17"/>
    <mergeCell ref="A19:A29"/>
    <mergeCell ref="A31:A33"/>
    <mergeCell ref="A35:A41"/>
    <mergeCell ref="A43:A47"/>
    <mergeCell ref="A49:A51"/>
    <mergeCell ref="A53:A55"/>
    <mergeCell ref="A57:A59"/>
    <mergeCell ref="A61:A63"/>
    <mergeCell ref="A65:A67"/>
    <mergeCell ref="A69:A73"/>
    <mergeCell ref="A75:A77"/>
    <mergeCell ref="A79:A81"/>
    <mergeCell ref="A83:A85"/>
    <mergeCell ref="A107:A109"/>
    <mergeCell ref="A111:A114"/>
    <mergeCell ref="A121:A122"/>
    <mergeCell ref="A116:A119"/>
    <mergeCell ref="A87:A89"/>
    <mergeCell ref="A91:A93"/>
    <mergeCell ref="A95:A97"/>
    <mergeCell ref="A99:A101"/>
    <mergeCell ref="A103:A105"/>
    <mergeCell ref="A124:A140"/>
    <mergeCell ref="A154:A156"/>
    <mergeCell ref="A150:A152"/>
    <mergeCell ref="A146:A148"/>
    <mergeCell ref="A142:A144"/>
  </mergeCells>
  <conditionalFormatting sqref="A2 E2">
    <cfRule type="duplicateValues" dxfId="0" priority="1"/>
  </conditionalFormatting>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31</vt:i4>
      </vt:variant>
    </vt:vector>
  </HeadingPairs>
  <TitlesOfParts>
    <vt:vector size="56" baseType="lpstr">
      <vt:lpstr>Приложение </vt:lpstr>
      <vt:lpstr>1. Анкетна карта</vt:lpstr>
      <vt:lpstr>2. Променливи</vt:lpstr>
      <vt:lpstr>3. Показатели за качество</vt:lpstr>
      <vt:lpstr>4. Отчет и прогн. потребление</vt:lpstr>
      <vt:lpstr>5. Персонал</vt:lpstr>
      <vt:lpstr>6. Ел.Енергия</vt:lpstr>
      <vt:lpstr>7. Утайки от ПСОВ</vt:lpstr>
      <vt:lpstr>8. Ремонтна програма</vt:lpstr>
      <vt:lpstr>9.Инвестиционна програма</vt:lpstr>
      <vt:lpstr>10. Финансиране на ИП</vt:lpstr>
      <vt:lpstr>11. Амортиз. план</vt:lpstr>
      <vt:lpstr>11.1.Амортиз.нови активи</vt:lpstr>
      <vt:lpstr>11.2. Нови активи отч.год.</vt:lpstr>
      <vt:lpstr>12. Разходи</vt:lpstr>
      <vt:lpstr>12.1.Разходи-увелич.и нам.</vt:lpstr>
      <vt:lpstr>13. Соц. поносимост</vt:lpstr>
      <vt:lpstr>14. ОПР</vt:lpstr>
      <vt:lpstr>15. ОПП</vt:lpstr>
      <vt:lpstr>16. Необходими приходи</vt:lpstr>
      <vt:lpstr>17. РБА</vt:lpstr>
      <vt:lpstr>18. OK</vt:lpstr>
      <vt:lpstr>19. HB</vt:lpstr>
      <vt:lpstr>20.Цени за дост.,отв. и преч.</vt:lpstr>
      <vt:lpstr>Пояснения</vt:lpstr>
      <vt:lpstr>'1. Анкетна карта'!Print_Area</vt:lpstr>
      <vt:lpstr>'10. Финансиране на ИП'!Print_Area</vt:lpstr>
      <vt:lpstr>'11. Амортиз. план'!Print_Area</vt:lpstr>
      <vt:lpstr>'11.1.Амортиз.нови активи'!Print_Area</vt:lpstr>
      <vt:lpstr>'11.2. Нови активи отч.год.'!Print_Area</vt:lpstr>
      <vt:lpstr>'12. Разходи'!Print_Area</vt:lpstr>
      <vt:lpstr>'12.1.Разходи-увелич.и нам.'!Print_Area</vt:lpstr>
      <vt:lpstr>'13. Соц. поносимост'!Print_Area</vt:lpstr>
      <vt:lpstr>'14. ОПР'!Print_Area</vt:lpstr>
      <vt:lpstr>'15. ОПП'!Print_Area</vt:lpstr>
      <vt:lpstr>'16. Необходими приходи'!Print_Area</vt:lpstr>
      <vt:lpstr>'17. РБА'!Print_Area</vt:lpstr>
      <vt:lpstr>'18. OK'!Print_Area</vt:lpstr>
      <vt:lpstr>'19. HB'!Print_Area</vt:lpstr>
      <vt:lpstr>'2. Променливи'!Print_Area</vt:lpstr>
      <vt:lpstr>'3. Показатели за качество'!Print_Area</vt:lpstr>
      <vt:lpstr>'4. Отчет и прогн. потребление'!Print_Area</vt:lpstr>
      <vt:lpstr>'5. Персонал'!Print_Area</vt:lpstr>
      <vt:lpstr>'6. Ел.Енергия'!Print_Area</vt:lpstr>
      <vt:lpstr>'7. Утайки от ПСОВ'!Print_Area</vt:lpstr>
      <vt:lpstr>'8. Ремонтна програма'!Print_Area</vt:lpstr>
      <vt:lpstr>'9.Инвестиционна програма'!Print_Area</vt:lpstr>
      <vt:lpstr>'11. Амортиз. план'!Print_Titles</vt:lpstr>
      <vt:lpstr>'11.1.Амортиз.нови активи'!Print_Titles</vt:lpstr>
      <vt:lpstr>'11.2. Нови активи отч.год.'!Print_Titles</vt:lpstr>
      <vt:lpstr>'12. Разходи'!Print_Titles</vt:lpstr>
      <vt:lpstr>'12.1.Разходи-увелич.и нам.'!Print_Titles</vt:lpstr>
      <vt:lpstr>'2. Променливи'!Print_Titles</vt:lpstr>
      <vt:lpstr>'5. Персонал'!Print_Titles</vt:lpstr>
      <vt:lpstr>'8. Ремонтна програма'!Print_Titles</vt:lpstr>
      <vt:lpstr>'9.Инвестиционна програма'!Print_Titles</vt:lpstr>
    </vt:vector>
  </TitlesOfParts>
  <Company>The World Bank 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 Alexandrov Yanakiev</dc:creator>
  <cp:lastModifiedBy>Valy Krasteva</cp:lastModifiedBy>
  <cp:lastPrinted>2016-06-27T07:33:59Z</cp:lastPrinted>
  <dcterms:created xsi:type="dcterms:W3CDTF">2015-02-06T07:26:45Z</dcterms:created>
  <dcterms:modified xsi:type="dcterms:W3CDTF">2016-08-02T10:24:33Z</dcterms:modified>
</cp:coreProperties>
</file>